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 codeName="{DD97A8EA-9A9A-E61F-A557-7D5A7D7259CE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sswyns\OneDrive - Jaga NV\Bureaublad\selection tools\briza22 test\check\uitzendbaar\"/>
    </mc:Choice>
  </mc:AlternateContent>
  <xr:revisionPtr revIDLastSave="0" documentId="8_{5C4F6D60-F916-4084-BCC9-0943EC2CFEF1}" xr6:coauthVersionLast="47" xr6:coauthVersionMax="47" xr10:uidLastSave="{00000000-0000-0000-0000-000000000000}"/>
  <workbookProtection workbookAlgorithmName="SHA-512" workbookHashValue="dj8SrCEYcOz54pPYwL9hYQk/W8QcdSc5j+yOQNOGQkCRUugv+dnwtlMb9ATSLOKhDIcOxkTxsPmkFZKfjDFcNg==" workbookSaltValue="2Jng6nbvi/ClQD9G8TqDKw==" workbookSpinCount="100000" lockStructure="1"/>
  <bookViews>
    <workbookView xWindow="-120" yWindow="-120" windowWidth="29040" windowHeight="15720" xr2:uid="{00000000-000D-0000-FFFF-FFFF00000000}"/>
  </bookViews>
  <sheets>
    <sheet name="Clima Canal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7" state="hidden" r:id="rId7"/>
    <sheet name="SP" sheetId="18" state="hidden" r:id="rId8"/>
    <sheet name="SW" sheetId="19" state="hidden" r:id="rId9"/>
    <sheet name="TS" sheetId="20" state="hidden" r:id="rId10"/>
    <sheet name="ExtraTaal1" sheetId="21" state="hidden" r:id="rId11"/>
    <sheet name="ExtraTaal2" sheetId="22" state="hidden" r:id="rId12"/>
    <sheet name="ExtraTaal3" sheetId="23" state="hidden" r:id="rId13"/>
  </sheets>
  <definedNames>
    <definedName name="Celc1">cal!$O$14</definedName>
    <definedName name="Celc2">cal!$P$14</definedName>
    <definedName name="CF_Altit">cal!$AB$11</definedName>
    <definedName name="Cubics">cal!$N$14</definedName>
    <definedName name="kgss">cal!$G$14</definedName>
    <definedName name="p_atm">cal!$Z$11</definedName>
    <definedName name="Pvs_Heat_in">611*EXP(17.27*((Tl_heat)/(Tl_heat+237.3)))</definedName>
    <definedName name="RH">cal!$K$12</definedName>
    <definedName name="Tavg_cold">(Tv_cool+Tr_cool)/2</definedName>
    <definedName name="Tl_cool">cal!$X$11</definedName>
    <definedName name="Tl_heat">cal!$S$11</definedName>
    <definedName name="Tr_cool">cal!$X$10</definedName>
    <definedName name="Tr_heat">cal!$S$10</definedName>
    <definedName name="Tv_cool">cal!$X$9</definedName>
    <definedName name="Tv_heat">cal!$S$9</definedName>
    <definedName name="Watts">cal!$H$14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8" l="1"/>
  <c r="CH17" i="8"/>
  <c r="X16" i="8" l="1"/>
  <c r="S6" i="8" s="1"/>
  <c r="S7" i="8"/>
  <c r="CQ36" i="8"/>
  <c r="CQ37" i="8"/>
  <c r="CQ38" i="8"/>
  <c r="CQ39" i="8"/>
  <c r="CQ35" i="8"/>
  <c r="CQ30" i="8"/>
  <c r="CQ31" i="8"/>
  <c r="CQ32" i="8"/>
  <c r="CQ33" i="8"/>
  <c r="CQ29" i="8"/>
  <c r="CQ24" i="8"/>
  <c r="CQ25" i="8"/>
  <c r="CQ26" i="8"/>
  <c r="CQ27" i="8"/>
  <c r="CQ23" i="8"/>
  <c r="CQ18" i="8"/>
  <c r="CQ19" i="8"/>
  <c r="CQ20" i="8"/>
  <c r="CQ21" i="8"/>
  <c r="CQ17" i="8"/>
  <c r="CO36" i="8"/>
  <c r="CO37" i="8"/>
  <c r="CO38" i="8"/>
  <c r="CO39" i="8"/>
  <c r="CO35" i="8"/>
  <c r="CO30" i="8"/>
  <c r="CO31" i="8"/>
  <c r="CO32" i="8"/>
  <c r="CO33" i="8"/>
  <c r="CO29" i="8"/>
  <c r="CO24" i="8"/>
  <c r="CO25" i="8"/>
  <c r="CO26" i="8"/>
  <c r="CO27" i="8"/>
  <c r="CO23" i="8"/>
  <c r="CO18" i="8"/>
  <c r="CO19" i="8"/>
  <c r="CO20" i="8"/>
  <c r="CO21" i="8"/>
  <c r="CO17" i="8"/>
  <c r="CJ36" i="8"/>
  <c r="CJ37" i="8"/>
  <c r="CJ38" i="8"/>
  <c r="CJ39" i="8"/>
  <c r="CJ35" i="8"/>
  <c r="CJ30" i="8"/>
  <c r="CJ31" i="8"/>
  <c r="CJ32" i="8"/>
  <c r="CJ33" i="8"/>
  <c r="CJ29" i="8"/>
  <c r="CJ24" i="8"/>
  <c r="CJ25" i="8"/>
  <c r="CJ26" i="8"/>
  <c r="CJ27" i="8"/>
  <c r="CJ23" i="8"/>
  <c r="CJ18" i="8"/>
  <c r="CJ19" i="8"/>
  <c r="CJ20" i="8"/>
  <c r="CJ21" i="8"/>
  <c r="CJ17" i="8"/>
  <c r="CH36" i="8"/>
  <c r="CH37" i="8"/>
  <c r="CH38" i="8"/>
  <c r="CH39" i="8"/>
  <c r="CH35" i="8"/>
  <c r="CH30" i="8"/>
  <c r="CH31" i="8"/>
  <c r="CH32" i="8"/>
  <c r="CH33" i="8"/>
  <c r="CH29" i="8"/>
  <c r="CH24" i="8"/>
  <c r="CH25" i="8"/>
  <c r="CH26" i="8"/>
  <c r="CH27" i="8"/>
  <c r="CH23" i="8"/>
  <c r="CH18" i="8"/>
  <c r="CH19" i="8"/>
  <c r="CH20" i="8"/>
  <c r="CH21" i="8"/>
  <c r="CH16" i="8"/>
  <c r="AF7" i="8" s="1"/>
  <c r="CM40" i="8"/>
  <c r="CT40" i="8" s="1"/>
  <c r="CM34" i="8"/>
  <c r="CT34" i="8" s="1"/>
  <c r="CM28" i="8"/>
  <c r="CT28" i="8" s="1"/>
  <c r="CM22" i="8"/>
  <c r="CT22" i="8" s="1"/>
  <c r="CK28" i="8"/>
  <c r="CK34" i="8" s="1"/>
  <c r="CK40" i="8" s="1"/>
  <c r="CI28" i="8"/>
  <c r="CI34" i="8" s="1"/>
  <c r="CI40" i="8" s="1"/>
  <c r="R18" i="8" l="1"/>
  <c r="R34" i="8"/>
  <c r="R50" i="8"/>
  <c r="R66" i="8"/>
  <c r="R19" i="8"/>
  <c r="R35" i="8"/>
  <c r="R51" i="8"/>
  <c r="R69" i="8"/>
  <c r="R54" i="8"/>
  <c r="R20" i="8"/>
  <c r="R36" i="8"/>
  <c r="R52" i="8"/>
  <c r="R68" i="8"/>
  <c r="R21" i="8"/>
  <c r="R37" i="8"/>
  <c r="R17" i="8"/>
  <c r="R23" i="8"/>
  <c r="R39" i="8"/>
  <c r="R55" i="8"/>
  <c r="R24" i="8"/>
  <c r="R40" i="8"/>
  <c r="R56" i="8"/>
  <c r="R25" i="8"/>
  <c r="R41" i="8"/>
  <c r="R57" i="8"/>
  <c r="R60" i="8"/>
  <c r="R29" i="8"/>
  <c r="R26" i="8"/>
  <c r="R42" i="8"/>
  <c r="R58" i="8"/>
  <c r="R44" i="8"/>
  <c r="R45" i="8"/>
  <c r="R27" i="8"/>
  <c r="R43" i="8"/>
  <c r="R59" i="8"/>
  <c r="R28" i="8"/>
  <c r="R61" i="8"/>
  <c r="R30" i="8"/>
  <c r="R46" i="8"/>
  <c r="R62" i="8"/>
  <c r="R49" i="8"/>
  <c r="R53" i="8"/>
  <c r="R31" i="8"/>
  <c r="R47" i="8"/>
  <c r="R63" i="8"/>
  <c r="R33" i="8"/>
  <c r="R22" i="8"/>
  <c r="R32" i="8"/>
  <c r="R48" i="8"/>
  <c r="R64" i="8"/>
  <c r="R65" i="8"/>
  <c r="R67" i="8"/>
  <c r="R38" i="8"/>
  <c r="X18" i="8"/>
  <c r="Z23" i="8"/>
  <c r="AA67" i="8"/>
  <c r="Y65" i="8"/>
  <c r="AD62" i="8"/>
  <c r="AB60" i="8"/>
  <c r="Z58" i="8"/>
  <c r="X56" i="8"/>
  <c r="AA51" i="8"/>
  <c r="Y49" i="8"/>
  <c r="AD46" i="8"/>
  <c r="AB44" i="8"/>
  <c r="Z42" i="8"/>
  <c r="AB39" i="8"/>
  <c r="Z37" i="8"/>
  <c r="X35" i="8"/>
  <c r="Z32" i="8"/>
  <c r="X30" i="8"/>
  <c r="Z27" i="8"/>
  <c r="X25" i="8"/>
  <c r="AB22" i="8"/>
  <c r="X20" i="8"/>
  <c r="Z65" i="8"/>
  <c r="Z49" i="8"/>
  <c r="AD55" i="8"/>
  <c r="AA39" i="8"/>
  <c r="Y67" i="8"/>
  <c r="X58" i="8"/>
  <c r="AA53" i="8"/>
  <c r="Y51" i="8"/>
  <c r="AD48" i="8"/>
  <c r="AB46" i="8"/>
  <c r="Z44" i="8"/>
  <c r="X42" i="8"/>
  <c r="Z39" i="8"/>
  <c r="X37" i="8"/>
  <c r="AB34" i="8"/>
  <c r="X32" i="8"/>
  <c r="X27" i="8"/>
  <c r="AC24" i="8"/>
  <c r="X22" i="8"/>
  <c r="AB67" i="8"/>
  <c r="AA27" i="8"/>
  <c r="AB69" i="8"/>
  <c r="Z51" i="8"/>
  <c r="AC46" i="8"/>
  <c r="AD64" i="8"/>
  <c r="Z53" i="8"/>
  <c r="Y39" i="8"/>
  <c r="AB64" i="8"/>
  <c r="X60" i="8"/>
  <c r="AA55" i="8"/>
  <c r="Y53" i="8"/>
  <c r="AD50" i="8"/>
  <c r="AB48" i="8"/>
  <c r="Z46" i="8"/>
  <c r="X44" i="8"/>
  <c r="AC41" i="8"/>
  <c r="X39" i="8"/>
  <c r="X34" i="8"/>
  <c r="AA29" i="8"/>
  <c r="AA24" i="8"/>
  <c r="AA19" i="8"/>
  <c r="Y56" i="8"/>
  <c r="AA42" i="8"/>
  <c r="Z22" i="8"/>
  <c r="AD57" i="8"/>
  <c r="AD36" i="8"/>
  <c r="Z62" i="8"/>
  <c r="AA17" i="8"/>
  <c r="X69" i="8"/>
  <c r="AA64" i="8"/>
  <c r="Y62" i="8"/>
  <c r="AD59" i="8"/>
  <c r="AB57" i="8"/>
  <c r="Z55" i="8"/>
  <c r="X53" i="8"/>
  <c r="AA48" i="8"/>
  <c r="Y46" i="8"/>
  <c r="AD43" i="8"/>
  <c r="AB41" i="8"/>
  <c r="AD38" i="8"/>
  <c r="AB36" i="8"/>
  <c r="AD33" i="8"/>
  <c r="AB31" i="8"/>
  <c r="Z29" i="8"/>
  <c r="AB26" i="8"/>
  <c r="Z24" i="8"/>
  <c r="AB21" i="8"/>
  <c r="Z19" i="8"/>
  <c r="X47" i="8"/>
  <c r="Y35" i="8"/>
  <c r="X17" i="8"/>
  <c r="AD29" i="8"/>
  <c r="AA69" i="8"/>
  <c r="Y60" i="8"/>
  <c r="Y44" i="8"/>
  <c r="AD68" i="8"/>
  <c r="Y55" i="8"/>
  <c r="AB50" i="8"/>
  <c r="AA41" i="8"/>
  <c r="AA31" i="8"/>
  <c r="Y29" i="8"/>
  <c r="Y24" i="8"/>
  <c r="AA21" i="8"/>
  <c r="Y19" i="8"/>
  <c r="AB51" i="8"/>
  <c r="AA37" i="8"/>
  <c r="Y58" i="8"/>
  <c r="AD19" i="8"/>
  <c r="AB19" i="8"/>
  <c r="AA26" i="8"/>
  <c r="Y17" i="8"/>
  <c r="AA66" i="8"/>
  <c r="Y64" i="8"/>
  <c r="AD61" i="8"/>
  <c r="AB59" i="8"/>
  <c r="Z57" i="8"/>
  <c r="X55" i="8"/>
  <c r="AC52" i="8"/>
  <c r="AA50" i="8"/>
  <c r="Y48" i="8"/>
  <c r="AD45" i="8"/>
  <c r="AB43" i="8"/>
  <c r="Z41" i="8"/>
  <c r="AB38" i="8"/>
  <c r="Z36" i="8"/>
  <c r="AB33" i="8"/>
  <c r="Z31" i="8"/>
  <c r="X29" i="8"/>
  <c r="Z26" i="8"/>
  <c r="X24" i="8"/>
  <c r="Z21" i="8"/>
  <c r="X19" i="8"/>
  <c r="AA58" i="8"/>
  <c r="AA32" i="8"/>
  <c r="Y37" i="8"/>
  <c r="AC64" i="8"/>
  <c r="AD26" i="8"/>
  <c r="Z17" i="8"/>
  <c r="AD52" i="8"/>
  <c r="AD70" i="8"/>
  <c r="Z66" i="8"/>
  <c r="X64" i="8"/>
  <c r="AA59" i="8"/>
  <c r="Y57" i="8"/>
  <c r="AD54" i="8"/>
  <c r="AB52" i="8"/>
  <c r="Z50" i="8"/>
  <c r="X48" i="8"/>
  <c r="AA43" i="8"/>
  <c r="Y41" i="8"/>
  <c r="AA38" i="8"/>
  <c r="Y36" i="8"/>
  <c r="AA33" i="8"/>
  <c r="Y31" i="8"/>
  <c r="AD28" i="8"/>
  <c r="Y26" i="8"/>
  <c r="AD23" i="8"/>
  <c r="Y21" i="8"/>
  <c r="AD18" i="8"/>
  <c r="Y30" i="8"/>
  <c r="AA60" i="8"/>
  <c r="AD34" i="8"/>
  <c r="AD17" i="8"/>
  <c r="AA62" i="8"/>
  <c r="AB29" i="8"/>
  <c r="AB17" i="8"/>
  <c r="AB66" i="8"/>
  <c r="X46" i="8"/>
  <c r="AB61" i="8"/>
  <c r="AD47" i="8"/>
  <c r="X41" i="8"/>
  <c r="Z38" i="8"/>
  <c r="X36" i="8"/>
  <c r="Z33" i="8"/>
  <c r="X31" i="8"/>
  <c r="AB28" i="8"/>
  <c r="X26" i="8"/>
  <c r="AD53" i="8"/>
  <c r="AB53" i="8"/>
  <c r="AD24" i="8"/>
  <c r="Z69" i="8"/>
  <c r="AD21" i="8"/>
  <c r="AA57" i="8"/>
  <c r="AC70" i="8"/>
  <c r="X57" i="8"/>
  <c r="Z43" i="8"/>
  <c r="AB70" i="8"/>
  <c r="Z68" i="8"/>
  <c r="X66" i="8"/>
  <c r="AA61" i="8"/>
  <c r="Y59" i="8"/>
  <c r="AD56" i="8"/>
  <c r="AB54" i="8"/>
  <c r="Z52" i="8"/>
  <c r="X50" i="8"/>
  <c r="AA45" i="8"/>
  <c r="Y43" i="8"/>
  <c r="AD40" i="8"/>
  <c r="Y38" i="8"/>
  <c r="AD35" i="8"/>
  <c r="Y33" i="8"/>
  <c r="AD30" i="8"/>
  <c r="Z28" i="8"/>
  <c r="AD25" i="8"/>
  <c r="AB23" i="8"/>
  <c r="AD20" i="8"/>
  <c r="AB18" i="8"/>
  <c r="AD22" i="8"/>
  <c r="X65" i="8"/>
  <c r="AA44" i="8"/>
  <c r="AB62" i="8"/>
  <c r="X51" i="8"/>
  <c r="AD31" i="8"/>
  <c r="Y69" i="8"/>
  <c r="X62" i="8"/>
  <c r="AA68" i="8"/>
  <c r="Z59" i="8"/>
  <c r="AB45" i="8"/>
  <c r="X21" i="8"/>
  <c r="AA70" i="8"/>
  <c r="Y68" i="8"/>
  <c r="AD65" i="8"/>
  <c r="AB63" i="8"/>
  <c r="Z61" i="8"/>
  <c r="X59" i="8"/>
  <c r="AA54" i="8"/>
  <c r="Y52" i="8"/>
  <c r="AD49" i="8"/>
  <c r="AB47" i="8"/>
  <c r="Z45" i="8"/>
  <c r="X43" i="8"/>
  <c r="AB40" i="8"/>
  <c r="X38" i="8"/>
  <c r="X33" i="8"/>
  <c r="X28" i="8"/>
  <c r="AA23" i="8"/>
  <c r="AA18" i="8"/>
  <c r="Y32" i="8"/>
  <c r="AD41" i="8"/>
  <c r="Z48" i="8"/>
  <c r="AB68" i="8"/>
  <c r="Z70" i="8"/>
  <c r="AD58" i="8"/>
  <c r="X52" i="8"/>
  <c r="AA47" i="8"/>
  <c r="Y45" i="8"/>
  <c r="AD37" i="8"/>
  <c r="AB35" i="8"/>
  <c r="AD32" i="8"/>
  <c r="AB30" i="8"/>
  <c r="AD27" i="8"/>
  <c r="AB25" i="8"/>
  <c r="AB20" i="8"/>
  <c r="Z18" i="8"/>
  <c r="AD69" i="8"/>
  <c r="Y25" i="8"/>
  <c r="Z67" i="8"/>
  <c r="Y42" i="8"/>
  <c r="Z60" i="8"/>
  <c r="X67" i="8"/>
  <c r="AA46" i="8"/>
  <c r="Z34" i="8"/>
  <c r="AD66" i="8"/>
  <c r="Z64" i="8"/>
  <c r="AA36" i="8"/>
  <c r="Y66" i="8"/>
  <c r="Y50" i="8"/>
  <c r="Y61" i="8"/>
  <c r="Z54" i="8"/>
  <c r="AD42" i="8"/>
  <c r="Y70" i="8"/>
  <c r="AD67" i="8"/>
  <c r="AB65" i="8"/>
  <c r="Z63" i="8"/>
  <c r="X61" i="8"/>
  <c r="AC58" i="8"/>
  <c r="AA56" i="8"/>
  <c r="Y54" i="8"/>
  <c r="AD51" i="8"/>
  <c r="AB49" i="8"/>
  <c r="Z47" i="8"/>
  <c r="X45" i="8"/>
  <c r="X40" i="8"/>
  <c r="AA35" i="8"/>
  <c r="AA30" i="8"/>
  <c r="AA25" i="8"/>
  <c r="Y23" i="8"/>
  <c r="AA20" i="8"/>
  <c r="Y18" i="8"/>
  <c r="X63" i="8"/>
  <c r="Y20" i="8"/>
  <c r="X49" i="8"/>
  <c r="Y27" i="8"/>
  <c r="AB55" i="8"/>
  <c r="AB24" i="8"/>
  <c r="AD63" i="8"/>
  <c r="AA52" i="8"/>
  <c r="X68" i="8"/>
  <c r="AA63" i="8"/>
  <c r="AB56" i="8"/>
  <c r="Z40" i="8"/>
  <c r="X70" i="8"/>
  <c r="AA65" i="8"/>
  <c r="Y63" i="8"/>
  <c r="AD60" i="8"/>
  <c r="AB58" i="8"/>
  <c r="Z56" i="8"/>
  <c r="X54" i="8"/>
  <c r="AA49" i="8"/>
  <c r="Y47" i="8"/>
  <c r="AD44" i="8"/>
  <c r="AB42" i="8"/>
  <c r="AD39" i="8"/>
  <c r="AB37" i="8"/>
  <c r="Z35" i="8"/>
  <c r="AB32" i="8"/>
  <c r="Z30" i="8"/>
  <c r="AB27" i="8"/>
  <c r="Z25" i="8"/>
  <c r="X23" i="8"/>
  <c r="Z20" i="8"/>
  <c r="CP22" i="8"/>
  <c r="CR22" i="8"/>
  <c r="E9" i="8"/>
  <c r="CR28" i="8" l="1"/>
  <c r="CO16" i="8"/>
  <c r="AF8" i="8" s="1"/>
  <c r="CP28" i="8"/>
  <c r="G6" i="16"/>
  <c r="H14" i="20"/>
  <c r="E14" i="20"/>
  <c r="I14" i="20" s="1"/>
  <c r="D14" i="20"/>
  <c r="M14" i="20"/>
  <c r="M14" i="19"/>
  <c r="H14" i="19"/>
  <c r="E14" i="19"/>
  <c r="I14" i="19" s="1"/>
  <c r="D14" i="19"/>
  <c r="F10" i="19"/>
  <c r="O14" i="23"/>
  <c r="N14" i="23"/>
  <c r="M14" i="23"/>
  <c r="I14" i="23"/>
  <c r="H14" i="23"/>
  <c r="E14" i="23"/>
  <c r="D14" i="23"/>
  <c r="A10" i="23"/>
  <c r="F10" i="23" s="1"/>
  <c r="A9" i="23"/>
  <c r="F9" i="23" s="1"/>
  <c r="E8" i="23"/>
  <c r="E10" i="23" s="1"/>
  <c r="D8" i="23"/>
  <c r="A8" i="23"/>
  <c r="F8" i="23" s="1"/>
  <c r="O14" i="22"/>
  <c r="N14" i="22"/>
  <c r="M14" i="22"/>
  <c r="I14" i="22"/>
  <c r="H14" i="22"/>
  <c r="E14" i="22"/>
  <c r="D14" i="22"/>
  <c r="A10" i="22"/>
  <c r="F10" i="22" s="1"/>
  <c r="A9" i="22"/>
  <c r="F9" i="22" s="1"/>
  <c r="E8" i="22"/>
  <c r="E10" i="22" s="1"/>
  <c r="D8" i="22"/>
  <c r="A8" i="22"/>
  <c r="F8" i="22" s="1"/>
  <c r="O14" i="21"/>
  <c r="N14" i="21"/>
  <c r="M14" i="21"/>
  <c r="I14" i="21"/>
  <c r="H14" i="21"/>
  <c r="E14" i="21"/>
  <c r="D14" i="21"/>
  <c r="A10" i="21"/>
  <c r="F10" i="21" s="1"/>
  <c r="A9" i="21"/>
  <c r="F9" i="21" s="1"/>
  <c r="F8" i="21"/>
  <c r="E8" i="21"/>
  <c r="E10" i="21" s="1"/>
  <c r="D8" i="21"/>
  <c r="A8" i="21"/>
  <c r="O14" i="20"/>
  <c r="N14" i="20"/>
  <c r="F10" i="20"/>
  <c r="F9" i="20"/>
  <c r="F8" i="20"/>
  <c r="E8" i="20"/>
  <c r="E10" i="20" s="1"/>
  <c r="D8" i="20"/>
  <c r="O14" i="19"/>
  <c r="N14" i="19"/>
  <c r="F9" i="19"/>
  <c r="F8" i="19"/>
  <c r="E8" i="19"/>
  <c r="E10" i="19" s="1"/>
  <c r="D8" i="19"/>
  <c r="CP34" i="8" l="1"/>
  <c r="CR34" i="8"/>
  <c r="B7" i="8"/>
  <c r="C9" i="8"/>
  <c r="G8" i="8"/>
  <c r="L15" i="8"/>
  <c r="E16" i="8"/>
  <c r="M16" i="8"/>
  <c r="F22" i="8"/>
  <c r="N22" i="8"/>
  <c r="G28" i="8"/>
  <c r="O28" i="8"/>
  <c r="H34" i="8"/>
  <c r="P34" i="8"/>
  <c r="I40" i="8"/>
  <c r="J46" i="8"/>
  <c r="N46" i="8"/>
  <c r="G52" i="8"/>
  <c r="K52" i="8"/>
  <c r="D58" i="8"/>
  <c r="L58" i="8"/>
  <c r="E64" i="8"/>
  <c r="I64" i="8"/>
  <c r="B70" i="8"/>
  <c r="D9" i="8"/>
  <c r="B11" i="8"/>
  <c r="G12" i="8"/>
  <c r="N7" i="8"/>
  <c r="M15" i="8"/>
  <c r="F16" i="8"/>
  <c r="J16" i="8"/>
  <c r="N16" i="8"/>
  <c r="C22" i="8"/>
  <c r="G22" i="8"/>
  <c r="K22" i="8"/>
  <c r="O22" i="8"/>
  <c r="D28" i="8"/>
  <c r="H28" i="8"/>
  <c r="L28" i="8"/>
  <c r="P28" i="8"/>
  <c r="E34" i="8"/>
  <c r="I34" i="8"/>
  <c r="M34" i="8"/>
  <c r="F40" i="8"/>
  <c r="J40" i="8"/>
  <c r="N40" i="8"/>
  <c r="C46" i="8"/>
  <c r="G46" i="8"/>
  <c r="K46" i="8"/>
  <c r="O46" i="8"/>
  <c r="D52" i="8"/>
  <c r="H52" i="8"/>
  <c r="L52" i="8"/>
  <c r="P52" i="8"/>
  <c r="E58" i="8"/>
  <c r="I58" i="8"/>
  <c r="M58" i="8"/>
  <c r="F64" i="8"/>
  <c r="J64" i="8"/>
  <c r="N64" i="8"/>
  <c r="B71" i="8"/>
  <c r="D10" i="8"/>
  <c r="M7" i="8"/>
  <c r="I16" i="8"/>
  <c r="J22" i="8"/>
  <c r="C28" i="8"/>
  <c r="K28" i="8"/>
  <c r="D34" i="8"/>
  <c r="L34" i="8"/>
  <c r="E40" i="8"/>
  <c r="M40" i="8"/>
  <c r="F46" i="8"/>
  <c r="C52" i="8"/>
  <c r="O52" i="8"/>
  <c r="H58" i="8"/>
  <c r="P58" i="8"/>
  <c r="M64" i="8"/>
  <c r="B8" i="8"/>
  <c r="B9" i="16" s="1"/>
  <c r="B10" i="8"/>
  <c r="C11" i="8"/>
  <c r="M9" i="8"/>
  <c r="B15" i="8"/>
  <c r="C16" i="8"/>
  <c r="G16" i="8"/>
  <c r="K16" i="8"/>
  <c r="O16" i="8"/>
  <c r="D22" i="8"/>
  <c r="H22" i="8"/>
  <c r="L22" i="8"/>
  <c r="P22" i="8"/>
  <c r="E28" i="8"/>
  <c r="I28" i="8"/>
  <c r="M28" i="8"/>
  <c r="F34" i="8"/>
  <c r="J34" i="8"/>
  <c r="N34" i="8"/>
  <c r="C40" i="8"/>
  <c r="G40" i="8"/>
  <c r="K40" i="8"/>
  <c r="O40" i="8"/>
  <c r="D46" i="8"/>
  <c r="H46" i="8"/>
  <c r="L46" i="8"/>
  <c r="P46" i="8"/>
  <c r="E52" i="8"/>
  <c r="I52" i="8"/>
  <c r="M52" i="8"/>
  <c r="F58" i="8"/>
  <c r="J58" i="8"/>
  <c r="N58" i="8"/>
  <c r="C64" i="8"/>
  <c r="G64" i="8"/>
  <c r="K64" i="8"/>
  <c r="O64" i="8"/>
  <c r="B72" i="8"/>
  <c r="B9" i="8"/>
  <c r="C10" i="8"/>
  <c r="D11" i="8"/>
  <c r="N9" i="8"/>
  <c r="C15" i="8"/>
  <c r="K15" i="8"/>
  <c r="D16" i="8"/>
  <c r="H16" i="8"/>
  <c r="L16" i="8"/>
  <c r="P16" i="8"/>
  <c r="E22" i="8"/>
  <c r="I22" i="8"/>
  <c r="M22" i="8"/>
  <c r="F28" i="8"/>
  <c r="J28" i="8"/>
  <c r="N28" i="8"/>
  <c r="C34" i="8"/>
  <c r="G34" i="8"/>
  <c r="K34" i="8"/>
  <c r="O34" i="8"/>
  <c r="D40" i="8"/>
  <c r="H40" i="8"/>
  <c r="L40" i="8"/>
  <c r="P40" i="8"/>
  <c r="E46" i="8"/>
  <c r="I46" i="8"/>
  <c r="M46" i="8"/>
  <c r="F52" i="8"/>
  <c r="J52" i="8"/>
  <c r="N52" i="8"/>
  <c r="C58" i="8"/>
  <c r="G58" i="8"/>
  <c r="K58" i="8"/>
  <c r="O58" i="8"/>
  <c r="D64" i="8"/>
  <c r="H64" i="8"/>
  <c r="L64" i="8"/>
  <c r="P64" i="8"/>
  <c r="K8" i="22"/>
  <c r="K9" i="21"/>
  <c r="K10" i="22"/>
  <c r="K10" i="20"/>
  <c r="E9" i="21"/>
  <c r="K10" i="21"/>
  <c r="K10" i="23"/>
  <c r="K9" i="23"/>
  <c r="K10" i="19"/>
  <c r="K8" i="19"/>
  <c r="K9" i="19"/>
  <c r="K8" i="20"/>
  <c r="K8" i="21"/>
  <c r="K9" i="22"/>
  <c r="K9" i="20"/>
  <c r="K8" i="23"/>
  <c r="E9" i="23"/>
  <c r="E9" i="22"/>
  <c r="E9" i="20"/>
  <c r="E9" i="19"/>
  <c r="CR40" i="8" l="1"/>
  <c r="CP40" i="8"/>
  <c r="E10" i="8"/>
  <c r="E11" i="8"/>
  <c r="D10" i="23" l="1"/>
  <c r="D10" i="22"/>
  <c r="D10" i="21"/>
  <c r="D10" i="19"/>
  <c r="D10" i="20"/>
  <c r="D9" i="23"/>
  <c r="D9" i="20"/>
  <c r="D9" i="19"/>
  <c r="D9" i="21"/>
  <c r="C14" i="21" s="1"/>
  <c r="D9" i="22"/>
  <c r="O14" i="18"/>
  <c r="N14" i="18"/>
  <c r="M14" i="18"/>
  <c r="H14" i="18"/>
  <c r="E14" i="18"/>
  <c r="I14" i="18" s="1"/>
  <c r="D14" i="18"/>
  <c r="F10" i="18"/>
  <c r="F9" i="18"/>
  <c r="F8" i="18"/>
  <c r="E8" i="18"/>
  <c r="K10" i="18" s="1"/>
  <c r="O14" i="17"/>
  <c r="N14" i="17"/>
  <c r="M14" i="17"/>
  <c r="H14" i="17"/>
  <c r="E14" i="17"/>
  <c r="I14" i="17" s="1"/>
  <c r="D14" i="17"/>
  <c r="F10" i="17"/>
  <c r="F9" i="17"/>
  <c r="F8" i="17"/>
  <c r="E8" i="17"/>
  <c r="K10" i="17" s="1"/>
  <c r="O14" i="15"/>
  <c r="N14" i="15"/>
  <c r="M14" i="15"/>
  <c r="I14" i="15"/>
  <c r="H14" i="15"/>
  <c r="E14" i="15"/>
  <c r="D14" i="15"/>
  <c r="A10" i="15"/>
  <c r="F10" i="15" s="1"/>
  <c r="F9" i="15"/>
  <c r="A9" i="15"/>
  <c r="E8" i="15"/>
  <c r="E10" i="15" s="1"/>
  <c r="A8" i="15"/>
  <c r="F8" i="15" s="1"/>
  <c r="O14" i="14"/>
  <c r="N14" i="14"/>
  <c r="M14" i="14"/>
  <c r="I14" i="14"/>
  <c r="H14" i="14"/>
  <c r="E14" i="14"/>
  <c r="D14" i="14"/>
  <c r="A10" i="14"/>
  <c r="F10" i="14" s="1"/>
  <c r="A9" i="14"/>
  <c r="F9" i="14" s="1"/>
  <c r="E8" i="14"/>
  <c r="E9" i="14" s="1"/>
  <c r="A8" i="14"/>
  <c r="F8" i="14" s="1"/>
  <c r="O14" i="13"/>
  <c r="P15" i="8" s="1"/>
  <c r="N14" i="13"/>
  <c r="O15" i="8" s="1"/>
  <c r="M14" i="13"/>
  <c r="N15" i="8" s="1"/>
  <c r="I14" i="13"/>
  <c r="J15" i="8" s="1"/>
  <c r="H14" i="13"/>
  <c r="I15" i="8" s="1"/>
  <c r="E14" i="13"/>
  <c r="F15" i="8" s="1"/>
  <c r="D14" i="13"/>
  <c r="E15" i="8" s="1"/>
  <c r="A10" i="13"/>
  <c r="F10" i="13" s="1"/>
  <c r="A9" i="13"/>
  <c r="F9" i="13" s="1"/>
  <c r="F8" i="13"/>
  <c r="E8" i="13"/>
  <c r="K9" i="13" s="1"/>
  <c r="A8" i="13"/>
  <c r="O14" i="9"/>
  <c r="N14" i="9"/>
  <c r="M14" i="9"/>
  <c r="I14" i="9"/>
  <c r="H14" i="9"/>
  <c r="E14" i="9"/>
  <c r="D14" i="9"/>
  <c r="A10" i="9"/>
  <c r="F10" i="9" s="1"/>
  <c r="A9" i="9"/>
  <c r="F9" i="9" s="1"/>
  <c r="E8" i="9"/>
  <c r="E10" i="9" s="1"/>
  <c r="A8" i="9"/>
  <c r="F8" i="9" s="1"/>
  <c r="BP70" i="8"/>
  <c r="BI70" i="8"/>
  <c r="N70" i="8"/>
  <c r="M69" i="17" s="1"/>
  <c r="BQ69" i="8"/>
  <c r="BP69" i="8"/>
  <c r="AC69" i="8" s="1"/>
  <c r="BO69" i="8"/>
  <c r="BQ68" i="8"/>
  <c r="BP68" i="8"/>
  <c r="AC68" i="8" s="1"/>
  <c r="BO68" i="8"/>
  <c r="BN68" i="8"/>
  <c r="BQ67" i="8"/>
  <c r="BP67" i="8"/>
  <c r="AC67" i="8" s="1"/>
  <c r="BO67" i="8"/>
  <c r="BQ66" i="8"/>
  <c r="BP66" i="8"/>
  <c r="AC66" i="8" s="1"/>
  <c r="BO66" i="8"/>
  <c r="BN66" i="8"/>
  <c r="BQ65" i="8"/>
  <c r="BP65" i="8"/>
  <c r="AC65" i="8" s="1"/>
  <c r="BO65" i="8"/>
  <c r="BP64" i="8"/>
  <c r="BI64" i="8"/>
  <c r="BQ63" i="8"/>
  <c r="BP63" i="8"/>
  <c r="AC63" i="8" s="1"/>
  <c r="BO63" i="8"/>
  <c r="BQ62" i="8"/>
  <c r="BP62" i="8"/>
  <c r="AC62" i="8" s="1"/>
  <c r="BO62" i="8"/>
  <c r="BN62" i="8"/>
  <c r="BQ61" i="8"/>
  <c r="BP61" i="8"/>
  <c r="AC61" i="8" s="1"/>
  <c r="BO61" i="8"/>
  <c r="BQ60" i="8"/>
  <c r="BP60" i="8"/>
  <c r="AC60" i="8" s="1"/>
  <c r="BO60" i="8"/>
  <c r="BN60" i="8"/>
  <c r="BQ59" i="8"/>
  <c r="BP59" i="8"/>
  <c r="AC59" i="8" s="1"/>
  <c r="BO59" i="8"/>
  <c r="BP58" i="8"/>
  <c r="BI58" i="8"/>
  <c r="BQ57" i="8"/>
  <c r="BP57" i="8"/>
  <c r="AC57" i="8" s="1"/>
  <c r="BO57" i="8"/>
  <c r="BQ56" i="8"/>
  <c r="BP56" i="8"/>
  <c r="AC56" i="8" s="1"/>
  <c r="BO56" i="8"/>
  <c r="BN56" i="8"/>
  <c r="BQ55" i="8"/>
  <c r="BP55" i="8"/>
  <c r="AC55" i="8" s="1"/>
  <c r="BO55" i="8"/>
  <c r="BQ54" i="8"/>
  <c r="BP54" i="8"/>
  <c r="AC54" i="8" s="1"/>
  <c r="BO54" i="8"/>
  <c r="BN54" i="8"/>
  <c r="BQ53" i="8"/>
  <c r="BP53" i="8"/>
  <c r="AC53" i="8" s="1"/>
  <c r="BO53" i="8"/>
  <c r="BP52" i="8"/>
  <c r="BI52" i="8"/>
  <c r="BQ51" i="8"/>
  <c r="BP51" i="8"/>
  <c r="AC51" i="8" s="1"/>
  <c r="BO51" i="8"/>
  <c r="BQ50" i="8"/>
  <c r="BP50" i="8"/>
  <c r="AC50" i="8" s="1"/>
  <c r="BO50" i="8"/>
  <c r="BN50" i="8"/>
  <c r="BQ49" i="8"/>
  <c r="BP49" i="8"/>
  <c r="AC49" i="8" s="1"/>
  <c r="BO49" i="8"/>
  <c r="BQ48" i="8"/>
  <c r="BP48" i="8"/>
  <c r="AC48" i="8" s="1"/>
  <c r="BO48" i="8"/>
  <c r="BN48" i="8"/>
  <c r="BE48" i="8"/>
  <c r="BQ47" i="8"/>
  <c r="BP47" i="8"/>
  <c r="AC47" i="8" s="1"/>
  <c r="BO47" i="8"/>
  <c r="BP46" i="8"/>
  <c r="BI46" i="8"/>
  <c r="BQ45" i="8"/>
  <c r="BP45" i="8"/>
  <c r="AC45" i="8" s="1"/>
  <c r="BO45" i="8"/>
  <c r="BQ44" i="8"/>
  <c r="BP44" i="8"/>
  <c r="AC44" i="8" s="1"/>
  <c r="BO44" i="8"/>
  <c r="BN44" i="8"/>
  <c r="BQ43" i="8"/>
  <c r="BP43" i="8"/>
  <c r="AC43" i="8" s="1"/>
  <c r="BO43" i="8"/>
  <c r="BQ42" i="8"/>
  <c r="BP42" i="8"/>
  <c r="AC42" i="8" s="1"/>
  <c r="BO42" i="8"/>
  <c r="BN42" i="8"/>
  <c r="BQ41" i="8"/>
  <c r="BP41" i="8"/>
  <c r="BO41" i="8"/>
  <c r="BX40" i="8"/>
  <c r="CE40" i="8" s="1"/>
  <c r="BP40" i="8"/>
  <c r="BI40" i="8"/>
  <c r="BB40" i="8"/>
  <c r="AJ40" i="8"/>
  <c r="BQ39" i="8"/>
  <c r="BP39" i="8"/>
  <c r="AC39" i="8" s="1"/>
  <c r="BO39" i="8"/>
  <c r="AR39" i="8"/>
  <c r="AQ39" i="8"/>
  <c r="AP39" i="8"/>
  <c r="AL39" i="8"/>
  <c r="BQ38" i="8"/>
  <c r="BP38" i="8"/>
  <c r="AC38" i="8" s="1"/>
  <c r="BO38" i="8"/>
  <c r="BN38" i="8"/>
  <c r="AR38" i="8"/>
  <c r="AQ38" i="8"/>
  <c r="AP38" i="8"/>
  <c r="AM38" i="8"/>
  <c r="AO38" i="8" s="1"/>
  <c r="AL38" i="8"/>
  <c r="AH38" i="8"/>
  <c r="BQ37" i="8"/>
  <c r="BP37" i="8"/>
  <c r="AC37" i="8" s="1"/>
  <c r="BO37" i="8"/>
  <c r="AR37" i="8"/>
  <c r="AQ37" i="8"/>
  <c r="AP37" i="8"/>
  <c r="AL37" i="8"/>
  <c r="BQ36" i="8"/>
  <c r="BP36" i="8"/>
  <c r="AC36" i="8" s="1"/>
  <c r="BO36" i="8"/>
  <c r="BN36" i="8"/>
  <c r="AR36" i="8"/>
  <c r="AQ36" i="8"/>
  <c r="AP36" i="8"/>
  <c r="AL36" i="8"/>
  <c r="AH36" i="8"/>
  <c r="AM36" i="8" s="1"/>
  <c r="AO36" i="8" s="1"/>
  <c r="BQ35" i="8"/>
  <c r="BP35" i="8"/>
  <c r="AC35" i="8" s="1"/>
  <c r="BO35" i="8"/>
  <c r="AR35" i="8"/>
  <c r="AQ35" i="8"/>
  <c r="AP35" i="8"/>
  <c r="AL35" i="8"/>
  <c r="BX34" i="8"/>
  <c r="CE34" i="8" s="1"/>
  <c r="BP34" i="8"/>
  <c r="BI34" i="8"/>
  <c r="BB34" i="8"/>
  <c r="AJ34" i="8"/>
  <c r="BQ33" i="8"/>
  <c r="BP33" i="8"/>
  <c r="AC33" i="8" s="1"/>
  <c r="BO33" i="8"/>
  <c r="AR33" i="8"/>
  <c r="AQ33" i="8"/>
  <c r="AP33" i="8"/>
  <c r="AL33" i="8"/>
  <c r="BQ32" i="8"/>
  <c r="BP32" i="8"/>
  <c r="AC32" i="8" s="1"/>
  <c r="BO32" i="8"/>
  <c r="BN32" i="8"/>
  <c r="AR32" i="8"/>
  <c r="AQ32" i="8"/>
  <c r="AP32" i="8"/>
  <c r="AL32" i="8"/>
  <c r="AH32" i="8"/>
  <c r="AM32" i="8" s="1"/>
  <c r="AO32" i="8" s="1"/>
  <c r="BQ31" i="8"/>
  <c r="BP31" i="8"/>
  <c r="AC31" i="8" s="1"/>
  <c r="BO31" i="8"/>
  <c r="AR31" i="8"/>
  <c r="AQ31" i="8"/>
  <c r="AP31" i="8"/>
  <c r="AL31" i="8"/>
  <c r="BQ30" i="8"/>
  <c r="BP30" i="8"/>
  <c r="AC30" i="8" s="1"/>
  <c r="BO30" i="8"/>
  <c r="BN30" i="8"/>
  <c r="AR30" i="8"/>
  <c r="AQ30" i="8"/>
  <c r="AP30" i="8"/>
  <c r="AL30" i="8"/>
  <c r="AH30" i="8"/>
  <c r="AM30" i="8" s="1"/>
  <c r="AO30" i="8" s="1"/>
  <c r="BQ29" i="8"/>
  <c r="BP29" i="8"/>
  <c r="AC29" i="8" s="1"/>
  <c r="BO29" i="8"/>
  <c r="AR29" i="8"/>
  <c r="AQ29" i="8"/>
  <c r="AP29" i="8"/>
  <c r="AL29" i="8"/>
  <c r="BX28" i="8"/>
  <c r="CE28" i="8" s="1"/>
  <c r="BP28" i="8"/>
  <c r="BI28" i="8"/>
  <c r="BB28" i="8"/>
  <c r="AJ28" i="8"/>
  <c r="BQ27" i="8"/>
  <c r="BP27" i="8"/>
  <c r="AC27" i="8" s="1"/>
  <c r="BO27" i="8"/>
  <c r="AR27" i="8"/>
  <c r="AQ27" i="8"/>
  <c r="AP27" i="8"/>
  <c r="AL27" i="8"/>
  <c r="BQ26" i="8"/>
  <c r="BP26" i="8"/>
  <c r="AC26" i="8" s="1"/>
  <c r="BO26" i="8"/>
  <c r="BN26" i="8"/>
  <c r="AR26" i="8"/>
  <c r="AQ26" i="8"/>
  <c r="AP26" i="8"/>
  <c r="AM26" i="8"/>
  <c r="AO26" i="8" s="1"/>
  <c r="AL26" i="8"/>
  <c r="AH26" i="8"/>
  <c r="BQ25" i="8"/>
  <c r="BP25" i="8"/>
  <c r="AC25" i="8" s="1"/>
  <c r="BO25" i="8"/>
  <c r="AR25" i="8"/>
  <c r="AQ25" i="8"/>
  <c r="AP25" i="8"/>
  <c r="AL25" i="8"/>
  <c r="BQ24" i="8"/>
  <c r="BP24" i="8"/>
  <c r="BO24" i="8"/>
  <c r="BN24" i="8"/>
  <c r="AR24" i="8"/>
  <c r="AQ24" i="8"/>
  <c r="AP24" i="8"/>
  <c r="AL24" i="8"/>
  <c r="AH24" i="8"/>
  <c r="AM24" i="8" s="1"/>
  <c r="AO24" i="8" s="1"/>
  <c r="BQ23" i="8"/>
  <c r="BP23" i="8"/>
  <c r="AC23" i="8" s="1"/>
  <c r="BO23" i="8"/>
  <c r="AR23" i="8"/>
  <c r="AQ23" i="8"/>
  <c r="AP23" i="8"/>
  <c r="AL23" i="8"/>
  <c r="BX22" i="8"/>
  <c r="CE22" i="8" s="1"/>
  <c r="BV22" i="8"/>
  <c r="BV28" i="8" s="1"/>
  <c r="BV34" i="8" s="1"/>
  <c r="BV40" i="8" s="1"/>
  <c r="BT22" i="8"/>
  <c r="BP22" i="8"/>
  <c r="BN22" i="8"/>
  <c r="BN34" i="8" s="1"/>
  <c r="BL22" i="8"/>
  <c r="BI22" i="8"/>
  <c r="BG22" i="8"/>
  <c r="BG34" i="8" s="1"/>
  <c r="BE22" i="8"/>
  <c r="BE34" i="8" s="1"/>
  <c r="BB22" i="8"/>
  <c r="AZ22" i="8"/>
  <c r="AX22" i="8"/>
  <c r="AX40" i="8" s="1"/>
  <c r="AM22" i="8"/>
  <c r="AM28" i="8" s="1"/>
  <c r="AM34" i="8" s="1"/>
  <c r="AM40" i="8" s="1"/>
  <c r="AJ22" i="8"/>
  <c r="AH22" i="8"/>
  <c r="AF22" i="8"/>
  <c r="BQ21" i="8"/>
  <c r="BP21" i="8"/>
  <c r="AC21" i="8" s="1"/>
  <c r="BO21" i="8"/>
  <c r="AR21" i="8"/>
  <c r="AQ21" i="8"/>
  <c r="AP21" i="8"/>
  <c r="AL21" i="8"/>
  <c r="BQ20" i="8"/>
  <c r="BP20" i="8"/>
  <c r="AC20" i="8" s="1"/>
  <c r="BO20" i="8"/>
  <c r="BN20" i="8"/>
  <c r="AR20" i="8"/>
  <c r="AQ20" i="8"/>
  <c r="AP20" i="8"/>
  <c r="AL20" i="8"/>
  <c r="AH20" i="8"/>
  <c r="AM20" i="8" s="1"/>
  <c r="AO20" i="8" s="1"/>
  <c r="BQ19" i="8"/>
  <c r="BP19" i="8"/>
  <c r="AC19" i="8" s="1"/>
  <c r="BO19" i="8"/>
  <c r="AR19" i="8"/>
  <c r="AQ19" i="8"/>
  <c r="AP19" i="8"/>
  <c r="AL19" i="8"/>
  <c r="BQ18" i="8"/>
  <c r="BP18" i="8"/>
  <c r="AC18" i="8" s="1"/>
  <c r="BO18" i="8"/>
  <c r="BN18" i="8"/>
  <c r="AR18" i="8"/>
  <c r="AQ18" i="8"/>
  <c r="AP18" i="8"/>
  <c r="AL18" i="8"/>
  <c r="AH18" i="8"/>
  <c r="AM18" i="8" s="1"/>
  <c r="AO18" i="8" s="1"/>
  <c r="BQ17" i="8"/>
  <c r="BP17" i="8"/>
  <c r="AC17" i="8" s="1"/>
  <c r="BO17" i="8"/>
  <c r="AR17" i="8"/>
  <c r="AQ17" i="8"/>
  <c r="AP17" i="8"/>
  <c r="AL17" i="8"/>
  <c r="P14" i="8"/>
  <c r="O14" i="8"/>
  <c r="N14" i="8"/>
  <c r="J14" i="8"/>
  <c r="J15" i="16" s="1"/>
  <c r="I14" i="8"/>
  <c r="I15" i="16" s="1"/>
  <c r="H15" i="16"/>
  <c r="G14" i="8"/>
  <c r="F14" i="8"/>
  <c r="F15" i="16" s="1"/>
  <c r="E14" i="8"/>
  <c r="E15" i="16" s="1"/>
  <c r="K12" i="8"/>
  <c r="K11" i="8"/>
  <c r="S11" i="8"/>
  <c r="K10" i="8"/>
  <c r="D9" i="18"/>
  <c r="K9" i="8"/>
  <c r="D8" i="17"/>
  <c r="O8" i="8"/>
  <c r="O9" i="16" s="1"/>
  <c r="M8" i="8"/>
  <c r="C70" i="16"/>
  <c r="B70" i="16"/>
  <c r="C69" i="16"/>
  <c r="B69" i="16"/>
  <c r="C68" i="16"/>
  <c r="B68" i="16"/>
  <c r="C67" i="16"/>
  <c r="B67" i="16"/>
  <c r="C66" i="16"/>
  <c r="B66" i="16"/>
  <c r="C64" i="16"/>
  <c r="B64" i="16"/>
  <c r="C63" i="16"/>
  <c r="B63" i="16"/>
  <c r="C62" i="16"/>
  <c r="B62" i="16"/>
  <c r="C61" i="16"/>
  <c r="B61" i="16"/>
  <c r="C60" i="16"/>
  <c r="B60" i="16"/>
  <c r="C58" i="16"/>
  <c r="B58" i="16"/>
  <c r="C57" i="16"/>
  <c r="B57" i="16"/>
  <c r="C56" i="16"/>
  <c r="B56" i="16"/>
  <c r="C55" i="16"/>
  <c r="B55" i="16"/>
  <c r="C54" i="16"/>
  <c r="B54" i="16"/>
  <c r="C52" i="16"/>
  <c r="B52" i="16"/>
  <c r="C51" i="16"/>
  <c r="B51" i="16"/>
  <c r="C50" i="16"/>
  <c r="B50" i="16"/>
  <c r="C49" i="16"/>
  <c r="B49" i="16"/>
  <c r="C48" i="16"/>
  <c r="B48" i="16"/>
  <c r="C46" i="16"/>
  <c r="B46" i="16"/>
  <c r="C45" i="16"/>
  <c r="B45" i="16"/>
  <c r="C44" i="16"/>
  <c r="B44" i="16"/>
  <c r="C43" i="16"/>
  <c r="B43" i="16"/>
  <c r="C42" i="16"/>
  <c r="B42" i="16"/>
  <c r="C40" i="16"/>
  <c r="B40" i="16"/>
  <c r="C39" i="16"/>
  <c r="B39" i="16"/>
  <c r="C38" i="16"/>
  <c r="B38" i="16"/>
  <c r="C37" i="16"/>
  <c r="B37" i="16"/>
  <c r="C36" i="16"/>
  <c r="B36" i="16"/>
  <c r="C34" i="16"/>
  <c r="B34" i="16"/>
  <c r="C33" i="16"/>
  <c r="B33" i="16"/>
  <c r="C32" i="16"/>
  <c r="B32" i="16"/>
  <c r="C31" i="16"/>
  <c r="B31" i="16"/>
  <c r="C30" i="16"/>
  <c r="B30" i="16"/>
  <c r="C28" i="16"/>
  <c r="B28" i="16"/>
  <c r="C27" i="16"/>
  <c r="B27" i="16"/>
  <c r="C26" i="16"/>
  <c r="B26" i="16"/>
  <c r="C25" i="16"/>
  <c r="B25" i="16"/>
  <c r="C24" i="16"/>
  <c r="B24" i="16"/>
  <c r="C22" i="16"/>
  <c r="B22" i="16"/>
  <c r="C21" i="16"/>
  <c r="B21" i="16"/>
  <c r="C20" i="16"/>
  <c r="B20" i="16"/>
  <c r="C19" i="16"/>
  <c r="B19" i="16"/>
  <c r="C18" i="16"/>
  <c r="B18" i="16"/>
  <c r="M15" i="16"/>
  <c r="L15" i="16"/>
  <c r="K15" i="16"/>
  <c r="D15" i="16"/>
  <c r="J12" i="16"/>
  <c r="I12" i="16"/>
  <c r="AQ28" i="8" l="1"/>
  <c r="AC28" i="8"/>
  <c r="AF28" i="8"/>
  <c r="Y22" i="8"/>
  <c r="AH28" i="8"/>
  <c r="AA22" i="8"/>
  <c r="AQ40" i="8"/>
  <c r="AC40" i="8"/>
  <c r="AQ22" i="8"/>
  <c r="AC22" i="8"/>
  <c r="AQ34" i="8"/>
  <c r="AC34" i="8"/>
  <c r="Z11" i="8"/>
  <c r="AB11" i="8" s="1"/>
  <c r="AA11" i="8"/>
  <c r="C14" i="22"/>
  <c r="M69" i="15"/>
  <c r="C14" i="23"/>
  <c r="M69" i="14"/>
  <c r="J11" i="15"/>
  <c r="J11" i="23"/>
  <c r="J11" i="22"/>
  <c r="J11" i="20"/>
  <c r="J11" i="19"/>
  <c r="J11" i="21"/>
  <c r="C14" i="20"/>
  <c r="J8" i="18"/>
  <c r="J8" i="19"/>
  <c r="J8" i="23"/>
  <c r="J8" i="20"/>
  <c r="J8" i="22"/>
  <c r="J8" i="21"/>
  <c r="J9" i="14"/>
  <c r="J9" i="19"/>
  <c r="J9" i="23"/>
  <c r="J9" i="22"/>
  <c r="J9" i="20"/>
  <c r="J9" i="21"/>
  <c r="J10" i="18"/>
  <c r="J10" i="19"/>
  <c r="J10" i="23"/>
  <c r="J10" i="22"/>
  <c r="J10" i="20"/>
  <c r="J10" i="21"/>
  <c r="C14" i="19"/>
  <c r="B72" i="16"/>
  <c r="U2" i="8"/>
  <c r="U3" i="8"/>
  <c r="U1" i="8"/>
  <c r="M69" i="23"/>
  <c r="M69" i="22"/>
  <c r="M69" i="19"/>
  <c r="M69" i="20"/>
  <c r="M69" i="21"/>
  <c r="M69" i="13"/>
  <c r="M69" i="9"/>
  <c r="M69" i="18"/>
  <c r="J9" i="8"/>
  <c r="J10" i="16" s="1"/>
  <c r="C11" i="16"/>
  <c r="H10" i="8"/>
  <c r="H11" i="16" s="1"/>
  <c r="C16" i="16"/>
  <c r="K16" i="16"/>
  <c r="O16" i="16"/>
  <c r="AC4" i="8"/>
  <c r="I9" i="8"/>
  <c r="I10" i="16" s="1"/>
  <c r="J16" i="16"/>
  <c r="N16" i="16"/>
  <c r="B5" i="8"/>
  <c r="B3" i="8"/>
  <c r="AC5" i="8"/>
  <c r="D11" i="16"/>
  <c r="I10" i="8"/>
  <c r="I11" i="16" s="1"/>
  <c r="C12" i="16"/>
  <c r="H11" i="8"/>
  <c r="H12" i="16" s="1"/>
  <c r="F16" i="16"/>
  <c r="L16" i="16"/>
  <c r="M8" i="16"/>
  <c r="D10" i="16"/>
  <c r="B16" i="16"/>
  <c r="P16" i="16"/>
  <c r="B73" i="16"/>
  <c r="E16" i="16"/>
  <c r="AC3" i="8"/>
  <c r="B8" i="16"/>
  <c r="G9" i="16"/>
  <c r="C10" i="16"/>
  <c r="H9" i="8"/>
  <c r="H10" i="16" s="1"/>
  <c r="M10" i="16"/>
  <c r="J10" i="8"/>
  <c r="J11" i="16" s="1"/>
  <c r="D12" i="16"/>
  <c r="I16" i="16"/>
  <c r="M16" i="16"/>
  <c r="B71" i="16"/>
  <c r="L45" i="8"/>
  <c r="N53" i="8"/>
  <c r="N54" i="16" s="1"/>
  <c r="M20" i="8"/>
  <c r="M21" i="16" s="1"/>
  <c r="L36" i="8"/>
  <c r="L38" i="8"/>
  <c r="M19" i="8"/>
  <c r="M20" i="16" s="1"/>
  <c r="N29" i="8"/>
  <c r="N30" i="16" s="1"/>
  <c r="M30" i="8"/>
  <c r="M31" i="16" s="1"/>
  <c r="N41" i="8"/>
  <c r="N42" i="16" s="1"/>
  <c r="M17" i="8"/>
  <c r="M18" i="16" s="1"/>
  <c r="M18" i="8"/>
  <c r="M19" i="16" s="1"/>
  <c r="M27" i="8"/>
  <c r="M28" i="16" s="1"/>
  <c r="L35" i="8"/>
  <c r="M69" i="8"/>
  <c r="M70" i="16" s="1"/>
  <c r="L68" i="8"/>
  <c r="N67" i="8"/>
  <c r="N68" i="16" s="1"/>
  <c r="M66" i="8"/>
  <c r="M67" i="16" s="1"/>
  <c r="L63" i="8"/>
  <c r="M61" i="8"/>
  <c r="M62" i="16" s="1"/>
  <c r="L60" i="8"/>
  <c r="N59" i="8"/>
  <c r="N60" i="16" s="1"/>
  <c r="N56" i="8"/>
  <c r="N57" i="16" s="1"/>
  <c r="L55" i="8"/>
  <c r="M53" i="8"/>
  <c r="M54" i="16" s="1"/>
  <c r="N51" i="8"/>
  <c r="N52" i="16" s="1"/>
  <c r="M50" i="8"/>
  <c r="M51" i="16" s="1"/>
  <c r="M47" i="8"/>
  <c r="M48" i="16" s="1"/>
  <c r="N45" i="8"/>
  <c r="N46" i="16" s="1"/>
  <c r="M44" i="8"/>
  <c r="M45" i="16" s="1"/>
  <c r="N42" i="8"/>
  <c r="N43" i="16" s="1"/>
  <c r="L41" i="8"/>
  <c r="M39" i="8"/>
  <c r="M40" i="16" s="1"/>
  <c r="M37" i="8"/>
  <c r="M38" i="16" s="1"/>
  <c r="L69" i="8"/>
  <c r="M67" i="8"/>
  <c r="M68" i="16" s="1"/>
  <c r="L66" i="8"/>
  <c r="N65" i="8"/>
  <c r="N66" i="16" s="1"/>
  <c r="N62" i="8"/>
  <c r="N63" i="16" s="1"/>
  <c r="L61" i="8"/>
  <c r="M59" i="8"/>
  <c r="M60" i="16" s="1"/>
  <c r="N57" i="8"/>
  <c r="N58" i="16" s="1"/>
  <c r="M56" i="8"/>
  <c r="M57" i="16" s="1"/>
  <c r="N54" i="8"/>
  <c r="N55" i="16" s="1"/>
  <c r="L53" i="8"/>
  <c r="M51" i="8"/>
  <c r="M52" i="16" s="1"/>
  <c r="L50" i="8"/>
  <c r="N49" i="8"/>
  <c r="N50" i="16" s="1"/>
  <c r="N48" i="8"/>
  <c r="N49" i="16" s="1"/>
  <c r="L47" i="8"/>
  <c r="M45" i="8"/>
  <c r="M46" i="16" s="1"/>
  <c r="L44" i="8"/>
  <c r="N43" i="8"/>
  <c r="N44" i="16" s="1"/>
  <c r="M42" i="8"/>
  <c r="M43" i="16" s="1"/>
  <c r="L39" i="8"/>
  <c r="M68" i="8"/>
  <c r="M69" i="16" s="1"/>
  <c r="L67" i="8"/>
  <c r="M63" i="8"/>
  <c r="M64" i="16" s="1"/>
  <c r="M60" i="8"/>
  <c r="M61" i="16" s="1"/>
  <c r="L59" i="8"/>
  <c r="M57" i="8"/>
  <c r="M58" i="16" s="1"/>
  <c r="M54" i="8"/>
  <c r="M55" i="16" s="1"/>
  <c r="L43" i="8"/>
  <c r="N38" i="8"/>
  <c r="N39" i="16" s="1"/>
  <c r="N37" i="8"/>
  <c r="N38" i="16" s="1"/>
  <c r="M36" i="8"/>
  <c r="M37" i="16" s="1"/>
  <c r="L33" i="8"/>
  <c r="N32" i="8"/>
  <c r="N33" i="16" s="1"/>
  <c r="L31" i="8"/>
  <c r="N30" i="8"/>
  <c r="N31" i="16" s="1"/>
  <c r="L29" i="8"/>
  <c r="L27" i="8"/>
  <c r="N26" i="8"/>
  <c r="N27" i="16" s="1"/>
  <c r="L25" i="8"/>
  <c r="N24" i="8"/>
  <c r="N25" i="16" s="1"/>
  <c r="L23" i="8"/>
  <c r="L21" i="8"/>
  <c r="N66" i="8"/>
  <c r="N67" i="16" s="1"/>
  <c r="L65" i="8"/>
  <c r="N63" i="8"/>
  <c r="N64" i="16" s="1"/>
  <c r="M62" i="8"/>
  <c r="M63" i="16" s="1"/>
  <c r="N61" i="8"/>
  <c r="N62" i="16" s="1"/>
  <c r="N60" i="8"/>
  <c r="N61" i="16" s="1"/>
  <c r="L57" i="8"/>
  <c r="L56" i="8"/>
  <c r="M55" i="8"/>
  <c r="M56" i="16" s="1"/>
  <c r="L54" i="8"/>
  <c r="M49" i="8"/>
  <c r="M50" i="16" s="1"/>
  <c r="M43" i="8"/>
  <c r="M44" i="16" s="1"/>
  <c r="L42" i="8"/>
  <c r="M41" i="8"/>
  <c r="M42" i="16" s="1"/>
  <c r="N36" i="8"/>
  <c r="N37" i="16" s="1"/>
  <c r="M35" i="8"/>
  <c r="M36" i="16" s="1"/>
  <c r="M32" i="8"/>
  <c r="M33" i="16" s="1"/>
  <c r="M31" i="8"/>
  <c r="M32" i="16" s="1"/>
  <c r="M26" i="8"/>
  <c r="M27" i="16" s="1"/>
  <c r="M25" i="8"/>
  <c r="M26" i="16" s="1"/>
  <c r="L20" i="8"/>
  <c r="N19" i="8"/>
  <c r="N20" i="16" s="1"/>
  <c r="L18" i="8"/>
  <c r="N17" i="8"/>
  <c r="N18" i="16" s="1"/>
  <c r="N69" i="8"/>
  <c r="N70" i="16" s="1"/>
  <c r="L62" i="8"/>
  <c r="L48" i="8"/>
  <c r="N39" i="8"/>
  <c r="N40" i="16" s="1"/>
  <c r="M65" i="8"/>
  <c r="M66" i="16" s="1"/>
  <c r="L51" i="8"/>
  <c r="N47" i="8"/>
  <c r="N48" i="16" s="1"/>
  <c r="N44" i="8"/>
  <c r="N45" i="16" s="1"/>
  <c r="M38" i="8"/>
  <c r="M39" i="16" s="1"/>
  <c r="L37" i="8"/>
  <c r="N35" i="8"/>
  <c r="N36" i="16" s="1"/>
  <c r="M33" i="8"/>
  <c r="M34" i="16" s="1"/>
  <c r="L32" i="8"/>
  <c r="M29" i="8"/>
  <c r="M30" i="16" s="1"/>
  <c r="N27" i="8"/>
  <c r="N28" i="16" s="1"/>
  <c r="L24" i="8"/>
  <c r="N23" i="8"/>
  <c r="N24" i="16" s="1"/>
  <c r="N20" i="8"/>
  <c r="N21" i="16" s="1"/>
  <c r="L19" i="8"/>
  <c r="M23" i="8"/>
  <c r="M24" i="16" s="1"/>
  <c r="N31" i="8"/>
  <c r="N32" i="16" s="1"/>
  <c r="M48" i="8"/>
  <c r="M49" i="16" s="1"/>
  <c r="N50" i="8"/>
  <c r="N51" i="16" s="1"/>
  <c r="L17" i="8"/>
  <c r="M21" i="8"/>
  <c r="M22" i="16" s="1"/>
  <c r="N18" i="8"/>
  <c r="N19" i="16" s="1"/>
  <c r="M24" i="8"/>
  <c r="M25" i="16" s="1"/>
  <c r="N25" i="8"/>
  <c r="N26" i="16" s="1"/>
  <c r="L26" i="8"/>
  <c r="L30" i="8"/>
  <c r="L49" i="8"/>
  <c r="N55" i="8"/>
  <c r="N56" i="16" s="1"/>
  <c r="BK16" i="8"/>
  <c r="AF5" i="8" s="1"/>
  <c r="N21" i="8"/>
  <c r="N22" i="16" s="1"/>
  <c r="AW16" i="8"/>
  <c r="AF4" i="8" s="1"/>
  <c r="N15" i="16"/>
  <c r="K8" i="14"/>
  <c r="K8" i="17"/>
  <c r="K8" i="18"/>
  <c r="BG28" i="8"/>
  <c r="K10" i="14"/>
  <c r="BS16" i="8"/>
  <c r="AF10" i="8" s="1"/>
  <c r="E9" i="13"/>
  <c r="K10" i="13"/>
  <c r="AE16" i="8"/>
  <c r="AF2" i="8" s="1"/>
  <c r="CC22" i="8"/>
  <c r="CC28" i="8" s="1"/>
  <c r="CC34" i="8" s="1"/>
  <c r="CC40" i="8" s="1"/>
  <c r="AX28" i="8"/>
  <c r="E9" i="9"/>
  <c r="BD16" i="8"/>
  <c r="AF6" i="8" s="1"/>
  <c r="K10" i="9"/>
  <c r="K8" i="13"/>
  <c r="E10" i="17"/>
  <c r="K8" i="9"/>
  <c r="K9" i="9"/>
  <c r="E10" i="18"/>
  <c r="J11" i="13"/>
  <c r="J11" i="18"/>
  <c r="J11" i="9"/>
  <c r="J11" i="14"/>
  <c r="J11" i="17"/>
  <c r="D9" i="13"/>
  <c r="S10" i="8"/>
  <c r="J10" i="15"/>
  <c r="X11" i="8"/>
  <c r="J10" i="14"/>
  <c r="J10" i="17"/>
  <c r="J10" i="9"/>
  <c r="J10" i="13"/>
  <c r="J9" i="17"/>
  <c r="X10" i="8"/>
  <c r="J9" i="15"/>
  <c r="J9" i="9"/>
  <c r="J9" i="18"/>
  <c r="J9" i="13"/>
  <c r="J8" i="17"/>
  <c r="J8" i="14"/>
  <c r="J8" i="9"/>
  <c r="X9" i="8"/>
  <c r="J8" i="13"/>
  <c r="J8" i="15"/>
  <c r="D10" i="9"/>
  <c r="D10" i="15"/>
  <c r="D10" i="13"/>
  <c r="D10" i="14"/>
  <c r="D10" i="17"/>
  <c r="D10" i="18"/>
  <c r="D9" i="9"/>
  <c r="D9" i="17"/>
  <c r="D9" i="14"/>
  <c r="D9" i="15"/>
  <c r="S9" i="8"/>
  <c r="D8" i="9"/>
  <c r="D8" i="15"/>
  <c r="D8" i="18"/>
  <c r="D8" i="13"/>
  <c r="D8" i="14"/>
  <c r="AZ40" i="8"/>
  <c r="AZ34" i="8"/>
  <c r="AZ28" i="8"/>
  <c r="CA22" i="8"/>
  <c r="BT28" i="8"/>
  <c r="BT34" i="8" s="1"/>
  <c r="BT40" i="8" s="1"/>
  <c r="AO22" i="8"/>
  <c r="BL64" i="8"/>
  <c r="BL52" i="8"/>
  <c r="BL70" i="8"/>
  <c r="BL46" i="8"/>
  <c r="BL58" i="8"/>
  <c r="BL34" i="8"/>
  <c r="BL40" i="8"/>
  <c r="N68" i="8"/>
  <c r="N69" i="16" s="1"/>
  <c r="BE64" i="8"/>
  <c r="BE52" i="8"/>
  <c r="BE70" i="8"/>
  <c r="BE58" i="8"/>
  <c r="BE46" i="8"/>
  <c r="BE40" i="8"/>
  <c r="BN64" i="8"/>
  <c r="BN52" i="8"/>
  <c r="BN70" i="8"/>
  <c r="BN46" i="8"/>
  <c r="BN40" i="8"/>
  <c r="BN58" i="8"/>
  <c r="BL28" i="8"/>
  <c r="N33" i="8"/>
  <c r="N34" i="16" s="1"/>
  <c r="AX34" i="8"/>
  <c r="BG70" i="8"/>
  <c r="BG58" i="8"/>
  <c r="BG46" i="8"/>
  <c r="BG40" i="8"/>
  <c r="BG64" i="8"/>
  <c r="BG52" i="8"/>
  <c r="BE28" i="8"/>
  <c r="BN28" i="8"/>
  <c r="K10" i="15"/>
  <c r="K8" i="15"/>
  <c r="E9" i="15"/>
  <c r="K9" i="15"/>
  <c r="E10" i="14"/>
  <c r="E10" i="13"/>
  <c r="K9" i="14"/>
  <c r="K9" i="17"/>
  <c r="K9" i="18"/>
  <c r="E9" i="17"/>
  <c r="E9" i="18"/>
  <c r="CW59" i="8" l="1"/>
  <c r="AH34" i="8"/>
  <c r="AA28" i="8"/>
  <c r="AF34" i="8"/>
  <c r="Y28" i="8"/>
  <c r="CW51" i="8"/>
  <c r="CW33" i="8"/>
  <c r="CW50" i="8"/>
  <c r="CW65" i="8"/>
  <c r="CW48" i="8"/>
  <c r="CW47" i="8"/>
  <c r="CW46" i="8"/>
  <c r="CX46" i="8" s="1"/>
  <c r="CY46" i="8" s="1"/>
  <c r="CZ46" i="8" s="1"/>
  <c r="CW28" i="8"/>
  <c r="CX28" i="8" s="1"/>
  <c r="CY28" i="8" s="1"/>
  <c r="CZ28" i="8" s="1"/>
  <c r="CW52" i="8"/>
  <c r="CX52" i="8" s="1"/>
  <c r="CY52" i="8" s="1"/>
  <c r="CZ52" i="8" s="1"/>
  <c r="CW67" i="8"/>
  <c r="CW64" i="8"/>
  <c r="CX64" i="8" s="1"/>
  <c r="CY64" i="8" s="1"/>
  <c r="CZ64" i="8" s="1"/>
  <c r="CW31" i="8"/>
  <c r="CW66" i="8"/>
  <c r="CW57" i="8"/>
  <c r="CW27" i="8"/>
  <c r="CW41" i="8"/>
  <c r="CW62" i="8"/>
  <c r="CW68" i="8"/>
  <c r="CW25" i="8"/>
  <c r="CW18" i="8"/>
  <c r="CW56" i="8"/>
  <c r="CW69" i="8"/>
  <c r="CW61" i="8"/>
  <c r="CW43" i="8"/>
  <c r="CW40" i="8"/>
  <c r="CX40" i="8" s="1"/>
  <c r="CY40" i="8" s="1"/>
  <c r="CZ40" i="8" s="1"/>
  <c r="CW20" i="8"/>
  <c r="CW45" i="8"/>
  <c r="CW58" i="8"/>
  <c r="CX58" i="8" s="1"/>
  <c r="CY58" i="8" s="1"/>
  <c r="CZ58" i="8" s="1"/>
  <c r="CW24" i="8"/>
  <c r="CW19" i="8"/>
  <c r="CW29" i="8"/>
  <c r="CW42" i="8"/>
  <c r="CW71" i="8"/>
  <c r="CX71" i="8" s="1"/>
  <c r="CY71" i="8" s="1"/>
  <c r="CZ71" i="8" s="1"/>
  <c r="CW34" i="8"/>
  <c r="CX34" i="8" s="1"/>
  <c r="CY34" i="8" s="1"/>
  <c r="CZ34" i="8" s="1"/>
  <c r="CW38" i="8"/>
  <c r="CW26" i="8"/>
  <c r="CW55" i="8"/>
  <c r="CW32" i="8"/>
  <c r="CW53" i="8"/>
  <c r="CW70" i="8"/>
  <c r="CX70" i="8" s="1"/>
  <c r="CY70" i="8" s="1"/>
  <c r="CZ70" i="8" s="1"/>
  <c r="CW39" i="8"/>
  <c r="CW63" i="8"/>
  <c r="CW36" i="8"/>
  <c r="CW22" i="8"/>
  <c r="CX22" i="8" s="1"/>
  <c r="CY22" i="8" s="1"/>
  <c r="CZ22" i="8" s="1"/>
  <c r="CW23" i="8"/>
  <c r="CW30" i="8"/>
  <c r="CW49" i="8"/>
  <c r="CW21" i="8"/>
  <c r="CW17" i="8"/>
  <c r="CW54" i="8"/>
  <c r="CW60" i="8"/>
  <c r="CW35" i="8"/>
  <c r="CW37" i="8"/>
  <c r="CW44" i="8"/>
  <c r="F14" i="18"/>
  <c r="A15" i="18"/>
  <c r="G14" i="18"/>
  <c r="F14" i="21"/>
  <c r="G14" i="21"/>
  <c r="F14" i="22"/>
  <c r="G14" i="22"/>
  <c r="G14" i="23"/>
  <c r="F14" i="23"/>
  <c r="G14" i="20"/>
  <c r="F14" i="20"/>
  <c r="F14" i="19"/>
  <c r="G14" i="19"/>
  <c r="A57" i="23"/>
  <c r="A57" i="21"/>
  <c r="A57" i="20"/>
  <c r="A57" i="19"/>
  <c r="A57" i="22"/>
  <c r="A51" i="19"/>
  <c r="A51" i="22"/>
  <c r="A51" i="23"/>
  <c r="A51" i="21"/>
  <c r="A51" i="20"/>
  <c r="A39" i="23"/>
  <c r="A39" i="20"/>
  <c r="A39" i="19"/>
  <c r="A39" i="22"/>
  <c r="A39" i="21"/>
  <c r="A63" i="21"/>
  <c r="A63" i="20"/>
  <c r="A63" i="19"/>
  <c r="A63" i="22"/>
  <c r="A63" i="23"/>
  <c r="A45" i="20"/>
  <c r="A45" i="19"/>
  <c r="A45" i="22"/>
  <c r="A45" i="23"/>
  <c r="A45" i="21"/>
  <c r="A15" i="14"/>
  <c r="A15" i="13"/>
  <c r="B12" i="16"/>
  <c r="G11" i="8"/>
  <c r="G12" i="16" s="1"/>
  <c r="B10" i="16"/>
  <c r="G9" i="8"/>
  <c r="G10" i="16" s="1"/>
  <c r="B11" i="16"/>
  <c r="G10" i="8"/>
  <c r="G11" i="16" s="1"/>
  <c r="G13" i="16"/>
  <c r="B12" i="8"/>
  <c r="K62" i="8"/>
  <c r="K63" i="16" s="1"/>
  <c r="L63" i="16"/>
  <c r="K18" i="8"/>
  <c r="K19" i="16" s="1"/>
  <c r="L19" i="16"/>
  <c r="K29" i="8"/>
  <c r="K30" i="16" s="1"/>
  <c r="L30" i="16"/>
  <c r="K36" i="8"/>
  <c r="K37" i="16" s="1"/>
  <c r="L37" i="16"/>
  <c r="K25" i="8"/>
  <c r="K26" i="16" s="1"/>
  <c r="L26" i="16"/>
  <c r="L27" i="16"/>
  <c r="K26" i="8"/>
  <c r="K27" i="16" s="1"/>
  <c r="L33" i="16"/>
  <c r="K32" i="8"/>
  <c r="K33" i="16" s="1"/>
  <c r="K53" i="8"/>
  <c r="K54" i="16" s="1"/>
  <c r="L54" i="16"/>
  <c r="K30" i="8"/>
  <c r="K31" i="16" s="1"/>
  <c r="L31" i="16"/>
  <c r="K37" i="8"/>
  <c r="K38" i="16" s="1"/>
  <c r="L38" i="16"/>
  <c r="L43" i="16"/>
  <c r="K42" i="8"/>
  <c r="K43" i="16" s="1"/>
  <c r="K47" i="8"/>
  <c r="K48" i="16" s="1"/>
  <c r="L48" i="16"/>
  <c r="K66" i="8"/>
  <c r="K67" i="16" s="1"/>
  <c r="L67" i="16"/>
  <c r="K41" i="8"/>
  <c r="K42" i="16" s="1"/>
  <c r="L42" i="16"/>
  <c r="K55" i="8"/>
  <c r="K56" i="16" s="1"/>
  <c r="L56" i="16"/>
  <c r="K68" i="8"/>
  <c r="K69" i="16" s="1"/>
  <c r="L69" i="16"/>
  <c r="K38" i="8"/>
  <c r="K39" i="16" s="1"/>
  <c r="L39" i="16"/>
  <c r="K45" i="8"/>
  <c r="K46" i="16" s="1"/>
  <c r="L46" i="16"/>
  <c r="K17" i="8"/>
  <c r="K18" i="16" s="1"/>
  <c r="L18" i="16"/>
  <c r="K20" i="8"/>
  <c r="K21" i="16" s="1"/>
  <c r="L21" i="16"/>
  <c r="K56" i="8"/>
  <c r="K57" i="16" s="1"/>
  <c r="L57" i="16"/>
  <c r="K31" i="8"/>
  <c r="K32" i="16" s="1"/>
  <c r="L32" i="16"/>
  <c r="K33" i="8"/>
  <c r="K34" i="16" s="1"/>
  <c r="L34" i="16"/>
  <c r="K67" i="8"/>
  <c r="K68" i="16" s="1"/>
  <c r="L68" i="16"/>
  <c r="K60" i="8"/>
  <c r="K61" i="16" s="1"/>
  <c r="L61" i="16"/>
  <c r="K24" i="8"/>
  <c r="K25" i="16" s="1"/>
  <c r="L25" i="16"/>
  <c r="K57" i="8"/>
  <c r="K58" i="16" s="1"/>
  <c r="L58" i="16"/>
  <c r="L66" i="16"/>
  <c r="K65" i="8"/>
  <c r="K66" i="16" s="1"/>
  <c r="K23" i="8"/>
  <c r="K24" i="16" s="1"/>
  <c r="L24" i="16"/>
  <c r="K27" i="8"/>
  <c r="K28" i="16" s="1"/>
  <c r="L28" i="16"/>
  <c r="K59" i="8"/>
  <c r="K60" i="16" s="1"/>
  <c r="L60" i="16"/>
  <c r="K39" i="8"/>
  <c r="K40" i="16" s="1"/>
  <c r="L40" i="16"/>
  <c r="K50" i="8"/>
  <c r="K51" i="16" s="1"/>
  <c r="L51" i="16"/>
  <c r="K69" i="8"/>
  <c r="K70" i="16" s="1"/>
  <c r="L70" i="16"/>
  <c r="K49" i="8"/>
  <c r="K50" i="16" s="1"/>
  <c r="L50" i="16"/>
  <c r="K19" i="8"/>
  <c r="K20" i="16" s="1"/>
  <c r="L20" i="16"/>
  <c r="K51" i="8"/>
  <c r="K52" i="16" s="1"/>
  <c r="L52" i="16"/>
  <c r="K48" i="8"/>
  <c r="K49" i="16" s="1"/>
  <c r="L49" i="16"/>
  <c r="L55" i="16"/>
  <c r="K54" i="8"/>
  <c r="K55" i="16" s="1"/>
  <c r="K21" i="8"/>
  <c r="K22" i="16" s="1"/>
  <c r="L22" i="16"/>
  <c r="K43" i="8"/>
  <c r="K44" i="16" s="1"/>
  <c r="L44" i="16"/>
  <c r="K44" i="8"/>
  <c r="K45" i="16" s="1"/>
  <c r="L45" i="16"/>
  <c r="K61" i="8"/>
  <c r="K62" i="16" s="1"/>
  <c r="L62" i="16"/>
  <c r="K63" i="8"/>
  <c r="K64" i="16" s="1"/>
  <c r="L64" i="16"/>
  <c r="L36" i="16"/>
  <c r="K35" i="8"/>
  <c r="K36" i="16" s="1"/>
  <c r="C14" i="17"/>
  <c r="AT21" i="8"/>
  <c r="AU21" i="8" s="1"/>
  <c r="C14" i="15"/>
  <c r="C14" i="13"/>
  <c r="D15" i="8" s="1"/>
  <c r="T11" i="8"/>
  <c r="D19" i="8" s="1"/>
  <c r="AT25" i="8"/>
  <c r="AU25" i="8" s="1"/>
  <c r="AT31" i="8"/>
  <c r="AU31" i="8" s="1"/>
  <c r="C14" i="9"/>
  <c r="AT20" i="8"/>
  <c r="AU20" i="8" s="1"/>
  <c r="AT23" i="8"/>
  <c r="AU23" i="8" s="1"/>
  <c r="AT37" i="8"/>
  <c r="AU37" i="8" s="1"/>
  <c r="AT33" i="8"/>
  <c r="AU33" i="8" s="1"/>
  <c r="AT27" i="8"/>
  <c r="AU27" i="8" s="1"/>
  <c r="AT29" i="8"/>
  <c r="AU29" i="8" s="1"/>
  <c r="F14" i="17"/>
  <c r="G14" i="14"/>
  <c r="C14" i="18"/>
  <c r="C14" i="14"/>
  <c r="F14" i="14"/>
  <c r="G14" i="17"/>
  <c r="AT26" i="8"/>
  <c r="AU26" i="8" s="1"/>
  <c r="W11" i="8"/>
  <c r="G20" i="8" s="1"/>
  <c r="AT18" i="8"/>
  <c r="AU18" i="8" s="1"/>
  <c r="AT36" i="8"/>
  <c r="AU36" i="8" s="1"/>
  <c r="AT38" i="8"/>
  <c r="AU38" i="8" s="1"/>
  <c r="AT17" i="8"/>
  <c r="AU17" i="8" s="1"/>
  <c r="AT32" i="8"/>
  <c r="AU32" i="8" s="1"/>
  <c r="AT19" i="8"/>
  <c r="AU19" i="8" s="1"/>
  <c r="AT39" i="8"/>
  <c r="AU39" i="8" s="1"/>
  <c r="AT30" i="8"/>
  <c r="AU30" i="8" s="1"/>
  <c r="AT24" i="8"/>
  <c r="AU24" i="8" s="1"/>
  <c r="AT35" i="8"/>
  <c r="AU35" i="8" s="1"/>
  <c r="G14" i="15"/>
  <c r="F14" i="15"/>
  <c r="F14" i="9"/>
  <c r="G14" i="9"/>
  <c r="G14" i="13"/>
  <c r="F14" i="13"/>
  <c r="A51" i="13"/>
  <c r="A51" i="14"/>
  <c r="A51" i="18"/>
  <c r="A51" i="17"/>
  <c r="A51" i="15"/>
  <c r="A51" i="9"/>
  <c r="A63" i="18"/>
  <c r="A63" i="17"/>
  <c r="A63" i="15"/>
  <c r="A63" i="9"/>
  <c r="A63" i="13"/>
  <c r="A63" i="14"/>
  <c r="BZ16" i="8"/>
  <c r="AF9" i="8" s="1"/>
  <c r="CA28" i="8"/>
  <c r="CA34" i="8" s="1"/>
  <c r="A45" i="9"/>
  <c r="A45" i="13"/>
  <c r="A45" i="14"/>
  <c r="A45" i="18"/>
  <c r="A45" i="17"/>
  <c r="A45" i="15"/>
  <c r="AO28" i="8"/>
  <c r="AO34" i="8" s="1"/>
  <c r="AO40" i="8" s="1"/>
  <c r="AL16" i="8"/>
  <c r="AF3" i="8" s="1"/>
  <c r="A39" i="18"/>
  <c r="A39" i="17"/>
  <c r="A39" i="15"/>
  <c r="A39" i="9"/>
  <c r="A39" i="13"/>
  <c r="A39" i="14"/>
  <c r="A57" i="14"/>
  <c r="A57" i="18"/>
  <c r="A57" i="17"/>
  <c r="A57" i="15"/>
  <c r="A57" i="9"/>
  <c r="A57" i="13"/>
  <c r="D17" i="8" l="1"/>
  <c r="E17" i="8" s="1"/>
  <c r="D16" i="16"/>
  <c r="AF40" i="8"/>
  <c r="Y40" i="8" s="1"/>
  <c r="Y34" i="8"/>
  <c r="AH40" i="8"/>
  <c r="AA40" i="8" s="1"/>
  <c r="AA34" i="8"/>
  <c r="CX20" i="8"/>
  <c r="G18" i="8"/>
  <c r="CX18" i="8" s="1"/>
  <c r="G21" i="8"/>
  <c r="CX21" i="8" s="1"/>
  <c r="G19" i="8"/>
  <c r="CX19" i="8" s="1"/>
  <c r="G17" i="8"/>
  <c r="G60" i="8"/>
  <c r="G25" i="8"/>
  <c r="G23" i="8"/>
  <c r="H15" i="8"/>
  <c r="H16" i="16" s="1"/>
  <c r="G15" i="8"/>
  <c r="G16" i="16" s="1"/>
  <c r="B64" i="8"/>
  <c r="B65" i="16" s="1"/>
  <c r="B40" i="8"/>
  <c r="B41" i="16" s="1"/>
  <c r="B58" i="8"/>
  <c r="B59" i="16" s="1"/>
  <c r="B52" i="8"/>
  <c r="B53" i="16" s="1"/>
  <c r="B46" i="8"/>
  <c r="B47" i="16" s="1"/>
  <c r="A15" i="15"/>
  <c r="A15" i="17"/>
  <c r="A15" i="21"/>
  <c r="A15" i="23"/>
  <c r="A15" i="22"/>
  <c r="A15" i="19"/>
  <c r="A15" i="9"/>
  <c r="A15" i="20"/>
  <c r="CA40" i="8"/>
  <c r="D69" i="8"/>
  <c r="D70" i="16" s="1"/>
  <c r="D44" i="8"/>
  <c r="D45" i="16" s="1"/>
  <c r="D61" i="8"/>
  <c r="O61" i="8" s="1"/>
  <c r="D27" i="8"/>
  <c r="D28" i="16" s="1"/>
  <c r="D63" i="8"/>
  <c r="E63" i="8" s="1"/>
  <c r="F63" i="8" s="1"/>
  <c r="F64" i="16" s="1"/>
  <c r="D60" i="8"/>
  <c r="O60" i="8" s="1"/>
  <c r="D33" i="8"/>
  <c r="E33" i="8" s="1"/>
  <c r="F33" i="8" s="1"/>
  <c r="F34" i="16" s="1"/>
  <c r="D50" i="8"/>
  <c r="D51" i="16" s="1"/>
  <c r="D65" i="8"/>
  <c r="D66" i="16" s="1"/>
  <c r="D35" i="8"/>
  <c r="E35" i="8" s="1"/>
  <c r="E36" i="16" s="1"/>
  <c r="D51" i="8"/>
  <c r="D52" i="16" s="1"/>
  <c r="D68" i="8"/>
  <c r="O68" i="8" s="1"/>
  <c r="D67" i="8"/>
  <c r="D42" i="8"/>
  <c r="D56" i="8"/>
  <c r="O56" i="8" s="1"/>
  <c r="D49" i="8"/>
  <c r="O49" i="8" s="1"/>
  <c r="D45" i="8"/>
  <c r="E45" i="8" s="1"/>
  <c r="F45" i="8" s="1"/>
  <c r="F46" i="16" s="1"/>
  <c r="D21" i="8"/>
  <c r="D22" i="16" s="1"/>
  <c r="D47" i="8"/>
  <c r="O47" i="8" s="1"/>
  <c r="D36" i="8"/>
  <c r="D43" i="8"/>
  <c r="O43" i="8" s="1"/>
  <c r="D54" i="8"/>
  <c r="E54" i="8" s="1"/>
  <c r="E55" i="16" s="1"/>
  <c r="D62" i="8"/>
  <c r="O62" i="8" s="1"/>
  <c r="D24" i="8"/>
  <c r="O24" i="8" s="1"/>
  <c r="D32" i="8"/>
  <c r="O32" i="8" s="1"/>
  <c r="D37" i="8"/>
  <c r="D38" i="16" s="1"/>
  <c r="D55" i="8"/>
  <c r="D38" i="8"/>
  <c r="O38" i="8" s="1"/>
  <c r="D20" i="8"/>
  <c r="O20" i="8" s="1"/>
  <c r="D53" i="8"/>
  <c r="E53" i="8" s="1"/>
  <c r="F53" i="8" s="1"/>
  <c r="F54" i="16" s="1"/>
  <c r="D29" i="8"/>
  <c r="O29" i="8" s="1"/>
  <c r="D25" i="8"/>
  <c r="D26" i="16" s="1"/>
  <c r="D31" i="8"/>
  <c r="D23" i="8"/>
  <c r="D24" i="16" s="1"/>
  <c r="D66" i="8"/>
  <c r="E66" i="8" s="1"/>
  <c r="E67" i="16" s="1"/>
  <c r="D39" i="8"/>
  <c r="O19" i="8"/>
  <c r="E19" i="8"/>
  <c r="F19" i="8" s="1"/>
  <c r="F20" i="16" s="1"/>
  <c r="D20" i="16"/>
  <c r="D30" i="8"/>
  <c r="D31" i="16" s="1"/>
  <c r="D41" i="8"/>
  <c r="E41" i="8" s="1"/>
  <c r="F41" i="8" s="1"/>
  <c r="F42" i="16" s="1"/>
  <c r="D57" i="8"/>
  <c r="E57" i="8" s="1"/>
  <c r="F57" i="8" s="1"/>
  <c r="F58" i="16" s="1"/>
  <c r="D48" i="8"/>
  <c r="D49" i="16" s="1"/>
  <c r="D59" i="8"/>
  <c r="D26" i="8"/>
  <c r="D18" i="8"/>
  <c r="G33" i="8"/>
  <c r="G39" i="8"/>
  <c r="G66" i="8"/>
  <c r="G61" i="8"/>
  <c r="G62" i="8"/>
  <c r="G42" i="8"/>
  <c r="G67" i="8"/>
  <c r="G44" i="8"/>
  <c r="G47" i="8"/>
  <c r="G36" i="8"/>
  <c r="G27" i="8"/>
  <c r="G26" i="8"/>
  <c r="G43" i="8"/>
  <c r="G49" i="8"/>
  <c r="G65" i="8"/>
  <c r="G51" i="8"/>
  <c r="G50" i="8"/>
  <c r="G69" i="8"/>
  <c r="G29" i="8"/>
  <c r="G48" i="8"/>
  <c r="G63" i="8"/>
  <c r="G68" i="8"/>
  <c r="G54" i="8"/>
  <c r="G55" i="8"/>
  <c r="G24" i="8"/>
  <c r="G30" i="8"/>
  <c r="G32" i="8"/>
  <c r="G57" i="8"/>
  <c r="G31" i="8"/>
  <c r="G38" i="8"/>
  <c r="G41" i="8"/>
  <c r="G35" i="8"/>
  <c r="G53" i="8"/>
  <c r="G37" i="8"/>
  <c r="G45" i="8"/>
  <c r="G56" i="8"/>
  <c r="G59" i="8"/>
  <c r="H19" i="8" l="1"/>
  <c r="CY19" i="8" s="1"/>
  <c r="CZ19" i="8" s="1"/>
  <c r="H20" i="16" s="1"/>
  <c r="P18" i="8"/>
  <c r="P21" i="8"/>
  <c r="H27" i="8"/>
  <c r="CX27" i="8"/>
  <c r="G60" i="16"/>
  <c r="CX59" i="8"/>
  <c r="P36" i="8"/>
  <c r="CX36" i="8"/>
  <c r="H55" i="8"/>
  <c r="I55" i="8" s="1"/>
  <c r="CX55" i="8"/>
  <c r="H54" i="8"/>
  <c r="CX54" i="8"/>
  <c r="H37" i="8"/>
  <c r="CX37" i="8"/>
  <c r="H24" i="8"/>
  <c r="CX24" i="8"/>
  <c r="G48" i="16"/>
  <c r="CX47" i="8"/>
  <c r="G54" i="16"/>
  <c r="CX53" i="8"/>
  <c r="G70" i="16"/>
  <c r="CX69" i="8"/>
  <c r="P62" i="8"/>
  <c r="CX62" i="8"/>
  <c r="H67" i="8"/>
  <c r="I67" i="8" s="1"/>
  <c r="CX67" i="8"/>
  <c r="P32" i="8"/>
  <c r="CX32" i="8"/>
  <c r="H44" i="8"/>
  <c r="CX44" i="8"/>
  <c r="H63" i="8"/>
  <c r="CX63" i="8"/>
  <c r="H66" i="8"/>
  <c r="W66" i="8" s="1"/>
  <c r="CX66" i="8"/>
  <c r="H68" i="8"/>
  <c r="CX68" i="8"/>
  <c r="G57" i="16"/>
  <c r="CX56" i="8"/>
  <c r="P45" i="8"/>
  <c r="CX45" i="8"/>
  <c r="H29" i="8"/>
  <c r="W29" i="8" s="1"/>
  <c r="CX29" i="8"/>
  <c r="H23" i="8"/>
  <c r="CX23" i="8"/>
  <c r="P48" i="8"/>
  <c r="CX48" i="8"/>
  <c r="H51" i="8"/>
  <c r="CX51" i="8"/>
  <c r="P49" i="8"/>
  <c r="CX49" i="8"/>
  <c r="CX33" i="8"/>
  <c r="P31" i="8"/>
  <c r="CX31" i="8"/>
  <c r="P43" i="8"/>
  <c r="CX43" i="8"/>
  <c r="P25" i="8"/>
  <c r="CX25" i="8"/>
  <c r="P30" i="8"/>
  <c r="CX30" i="8"/>
  <c r="H42" i="8"/>
  <c r="CX42" i="8"/>
  <c r="CX35" i="8"/>
  <c r="H50" i="8"/>
  <c r="I50" i="8" s="1"/>
  <c r="CX50" i="8"/>
  <c r="P61" i="8"/>
  <c r="CX61" i="8"/>
  <c r="G42" i="16"/>
  <c r="CX41" i="8"/>
  <c r="P38" i="8"/>
  <c r="CX38" i="8"/>
  <c r="H65" i="8"/>
  <c r="CX65" i="8"/>
  <c r="H39" i="8"/>
  <c r="CX39" i="8"/>
  <c r="H57" i="8"/>
  <c r="CX57" i="8"/>
  <c r="P26" i="8"/>
  <c r="CX26" i="8"/>
  <c r="G61" i="16"/>
  <c r="CX60" i="8"/>
  <c r="P60" i="8"/>
  <c r="H60" i="8"/>
  <c r="B16" i="8"/>
  <c r="B17" i="16" s="1"/>
  <c r="A21" i="21"/>
  <c r="A21" i="14"/>
  <c r="A21" i="23"/>
  <c r="A21" i="13"/>
  <c r="A21" i="9"/>
  <c r="A21" i="19"/>
  <c r="A21" i="15"/>
  <c r="A21" i="18"/>
  <c r="A21" i="17"/>
  <c r="A21" i="22"/>
  <c r="A21" i="20"/>
  <c r="A27" i="17"/>
  <c r="A27" i="23"/>
  <c r="A27" i="21"/>
  <c r="A27" i="20"/>
  <c r="A27" i="22"/>
  <c r="A27" i="19"/>
  <c r="A27" i="18"/>
  <c r="A27" i="15"/>
  <c r="A27" i="14"/>
  <c r="A27" i="13"/>
  <c r="A33" i="13"/>
  <c r="A33" i="23"/>
  <c r="A33" i="20"/>
  <c r="A33" i="14"/>
  <c r="A33" i="19"/>
  <c r="A33" i="22"/>
  <c r="A33" i="9"/>
  <c r="A33" i="21"/>
  <c r="A33" i="18"/>
  <c r="A33" i="17"/>
  <c r="A33" i="15"/>
  <c r="A27" i="9"/>
  <c r="D36" i="16"/>
  <c r="O53" i="8"/>
  <c r="D48" i="16"/>
  <c r="O35" i="8"/>
  <c r="E44" i="8"/>
  <c r="F44" i="8" s="1"/>
  <c r="F45" i="16" s="1"/>
  <c r="E60" i="8"/>
  <c r="E61" i="16" s="1"/>
  <c r="E21" i="8"/>
  <c r="F21" i="8" s="1"/>
  <c r="F22" i="16" s="1"/>
  <c r="O44" i="8"/>
  <c r="D61" i="16"/>
  <c r="F54" i="8"/>
  <c r="F55" i="16" s="1"/>
  <c r="D57" i="16"/>
  <c r="F66" i="8"/>
  <c r="F67" i="16" s="1"/>
  <c r="E64" i="16"/>
  <c r="E34" i="16"/>
  <c r="O63" i="8"/>
  <c r="D34" i="16"/>
  <c r="O66" i="8"/>
  <c r="E29" i="8"/>
  <c r="F29" i="8" s="1"/>
  <c r="F30" i="16" s="1"/>
  <c r="E61" i="8"/>
  <c r="E62" i="16" s="1"/>
  <c r="D21" i="16"/>
  <c r="O69" i="8"/>
  <c r="G67" i="16"/>
  <c r="E49" i="8"/>
  <c r="E50" i="16" s="1"/>
  <c r="E69" i="8"/>
  <c r="F69" i="8" s="1"/>
  <c r="F70" i="16" s="1"/>
  <c r="E58" i="16"/>
  <c r="D58" i="16"/>
  <c r="E62" i="8"/>
  <c r="F62" i="8" s="1"/>
  <c r="F63" i="16" s="1"/>
  <c r="D67" i="16"/>
  <c r="E47" i="8"/>
  <c r="F47" i="8" s="1"/>
  <c r="F48" i="16" s="1"/>
  <c r="O33" i="8"/>
  <c r="D62" i="16"/>
  <c r="D63" i="16"/>
  <c r="D30" i="16"/>
  <c r="E37" i="8"/>
  <c r="F37" i="8" s="1"/>
  <c r="F38" i="16" s="1"/>
  <c r="O51" i="8"/>
  <c r="E38" i="8"/>
  <c r="E39" i="16" s="1"/>
  <c r="O57" i="8"/>
  <c r="E25" i="8"/>
  <c r="E26" i="16" s="1"/>
  <c r="D69" i="16"/>
  <c r="E24" i="8"/>
  <c r="F24" i="8" s="1"/>
  <c r="F25" i="16" s="1"/>
  <c r="D39" i="16"/>
  <c r="D50" i="16"/>
  <c r="E56" i="8"/>
  <c r="D25" i="16"/>
  <c r="E51" i="8"/>
  <c r="E50" i="8"/>
  <c r="F50" i="8" s="1"/>
  <c r="F51" i="16" s="1"/>
  <c r="E27" i="8"/>
  <c r="F27" i="8" s="1"/>
  <c r="F28" i="16" s="1"/>
  <c r="F35" i="8"/>
  <c r="F36" i="16" s="1"/>
  <c r="E54" i="16"/>
  <c r="E23" i="8"/>
  <c r="E24" i="16" s="1"/>
  <c r="O54" i="8"/>
  <c r="O23" i="8"/>
  <c r="D55" i="16"/>
  <c r="D54" i="16"/>
  <c r="O37" i="8"/>
  <c r="O21" i="8"/>
  <c r="E30" i="8"/>
  <c r="F30" i="8" s="1"/>
  <c r="F31" i="16" s="1"/>
  <c r="D64" i="16"/>
  <c r="O25" i="8"/>
  <c r="O50" i="8"/>
  <c r="O30" i="8"/>
  <c r="E68" i="8"/>
  <c r="F68" i="8" s="1"/>
  <c r="F69" i="16" s="1"/>
  <c r="E48" i="8"/>
  <c r="F48" i="8" s="1"/>
  <c r="F49" i="16" s="1"/>
  <c r="E46" i="16"/>
  <c r="O48" i="8"/>
  <c r="D46" i="16"/>
  <c r="O65" i="8"/>
  <c r="O27" i="8"/>
  <c r="E43" i="8"/>
  <c r="D44" i="16"/>
  <c r="O67" i="8"/>
  <c r="D68" i="16"/>
  <c r="E67" i="8"/>
  <c r="E65" i="8"/>
  <c r="F65" i="8" s="1"/>
  <c r="F66" i="16" s="1"/>
  <c r="O45" i="8"/>
  <c r="E36" i="8"/>
  <c r="O36" i="8"/>
  <c r="D37" i="16"/>
  <c r="O31" i="8"/>
  <c r="D32" i="16"/>
  <c r="D33" i="16"/>
  <c r="O55" i="8"/>
  <c r="D56" i="16"/>
  <c r="E55" i="8"/>
  <c r="E20" i="8"/>
  <c r="E21" i="16" s="1"/>
  <c r="E32" i="8"/>
  <c r="E31" i="8"/>
  <c r="O42" i="8"/>
  <c r="E42" i="8"/>
  <c r="D43" i="16"/>
  <c r="H47" i="8"/>
  <c r="E42" i="16"/>
  <c r="P19" i="8"/>
  <c r="E20" i="16"/>
  <c r="O41" i="8"/>
  <c r="P23" i="8"/>
  <c r="G50" i="16"/>
  <c r="D42" i="16"/>
  <c r="H33" i="8"/>
  <c r="H43" i="8"/>
  <c r="P50" i="8"/>
  <c r="G51" i="16"/>
  <c r="F17" i="8"/>
  <c r="F18" i="16" s="1"/>
  <c r="E18" i="16"/>
  <c r="O39" i="8"/>
  <c r="E39" i="8"/>
  <c r="D40" i="16"/>
  <c r="E18" i="8"/>
  <c r="O18" i="8"/>
  <c r="D19" i="16"/>
  <c r="E26" i="8"/>
  <c r="D27" i="16"/>
  <c r="O26" i="8"/>
  <c r="E59" i="8"/>
  <c r="D60" i="16"/>
  <c r="O59" i="8"/>
  <c r="O17" i="8"/>
  <c r="D18" i="16"/>
  <c r="P27" i="8"/>
  <c r="P65" i="8"/>
  <c r="G62" i="16"/>
  <c r="P33" i="8"/>
  <c r="G69" i="16"/>
  <c r="P63" i="8"/>
  <c r="G63" i="16"/>
  <c r="H62" i="8"/>
  <c r="P39" i="8"/>
  <c r="H18" i="8"/>
  <c r="P51" i="8"/>
  <c r="H53" i="8"/>
  <c r="P29" i="8"/>
  <c r="H20" i="8"/>
  <c r="P42" i="8"/>
  <c r="H41" i="8"/>
  <c r="G49" i="16"/>
  <c r="H69" i="8"/>
  <c r="P66" i="8"/>
  <c r="G43" i="16"/>
  <c r="H45" i="8"/>
  <c r="P55" i="8"/>
  <c r="H32" i="8"/>
  <c r="H38" i="8"/>
  <c r="H49" i="8"/>
  <c r="H25" i="8"/>
  <c r="H36" i="8"/>
  <c r="P57" i="8"/>
  <c r="P69" i="8"/>
  <c r="G44" i="16"/>
  <c r="G45" i="16"/>
  <c r="G46" i="16"/>
  <c r="P35" i="8"/>
  <c r="G58" i="16"/>
  <c r="P67" i="8"/>
  <c r="H61" i="8"/>
  <c r="P56" i="8"/>
  <c r="H35" i="8"/>
  <c r="G68" i="16"/>
  <c r="G64" i="16"/>
  <c r="P24" i="8"/>
  <c r="G66" i="16"/>
  <c r="H31" i="8"/>
  <c r="P47" i="8"/>
  <c r="H56" i="8"/>
  <c r="P41" i="8"/>
  <c r="G56" i="16"/>
  <c r="P68" i="8"/>
  <c r="P44" i="8"/>
  <c r="P37" i="8"/>
  <c r="H48" i="8"/>
  <c r="H21" i="8"/>
  <c r="H59" i="8"/>
  <c r="P54" i="8"/>
  <c r="H30" i="8"/>
  <c r="G52" i="16"/>
  <c r="H26" i="8"/>
  <c r="P59" i="8"/>
  <c r="P53" i="8"/>
  <c r="P20" i="8"/>
  <c r="G55" i="16"/>
  <c r="H67" i="16" l="1"/>
  <c r="CY51" i="8"/>
  <c r="CZ51" i="8" s="1"/>
  <c r="I19" i="8"/>
  <c r="I20" i="16" s="1"/>
  <c r="W19" i="8"/>
  <c r="G20" i="16"/>
  <c r="CY68" i="8"/>
  <c r="CZ68" i="8" s="1"/>
  <c r="CY63" i="8"/>
  <c r="CZ63" i="8" s="1"/>
  <c r="H51" i="16"/>
  <c r="CY23" i="8"/>
  <c r="CZ23" i="8" s="1"/>
  <c r="CY42" i="8"/>
  <c r="CZ42" i="8" s="1"/>
  <c r="I29" i="8"/>
  <c r="J29" i="8" s="1"/>
  <c r="CY44" i="8"/>
  <c r="CZ44" i="8" s="1"/>
  <c r="CY54" i="8"/>
  <c r="CZ54" i="8" s="1"/>
  <c r="CY65" i="8"/>
  <c r="CZ65" i="8" s="1"/>
  <c r="CY24" i="8"/>
  <c r="CZ24" i="8" s="1"/>
  <c r="CY39" i="8"/>
  <c r="CZ39" i="8" s="1"/>
  <c r="W67" i="8"/>
  <c r="W50" i="8"/>
  <c r="I44" i="8"/>
  <c r="I45" i="16" s="1"/>
  <c r="CY37" i="8"/>
  <c r="CZ37" i="8" s="1"/>
  <c r="W55" i="8"/>
  <c r="CY57" i="8"/>
  <c r="CZ57" i="8" s="1"/>
  <c r="I37" i="8"/>
  <c r="J37" i="8" s="1"/>
  <c r="CY27" i="8"/>
  <c r="CZ27" i="8" s="1"/>
  <c r="W39" i="8"/>
  <c r="W37" i="8"/>
  <c r="I39" i="8"/>
  <c r="J39" i="8" s="1"/>
  <c r="H64" i="16"/>
  <c r="I65" i="8"/>
  <c r="I66" i="16" s="1"/>
  <c r="W23" i="8"/>
  <c r="I63" i="8"/>
  <c r="I64" i="16" s="1"/>
  <c r="W24" i="8"/>
  <c r="I23" i="8"/>
  <c r="J23" i="8" s="1"/>
  <c r="H55" i="16"/>
  <c r="H66" i="16"/>
  <c r="W63" i="8"/>
  <c r="H56" i="16"/>
  <c r="W54" i="8"/>
  <c r="I54" i="8"/>
  <c r="I55" i="16" s="1"/>
  <c r="H45" i="16"/>
  <c r="W44" i="8"/>
  <c r="CY50" i="8"/>
  <c r="CZ50" i="8" s="1"/>
  <c r="CY66" i="8"/>
  <c r="CZ66" i="8" s="1"/>
  <c r="I66" i="8"/>
  <c r="I67" i="16" s="1"/>
  <c r="H52" i="16"/>
  <c r="W65" i="8"/>
  <c r="W27" i="8"/>
  <c r="W68" i="8"/>
  <c r="W51" i="8"/>
  <c r="H69" i="16"/>
  <c r="H58" i="16"/>
  <c r="I27" i="8"/>
  <c r="J27" i="8" s="1"/>
  <c r="H43" i="16"/>
  <c r="I51" i="8"/>
  <c r="J51" i="8" s="1"/>
  <c r="J52" i="16" s="1"/>
  <c r="I68" i="8"/>
  <c r="I69" i="16" s="1"/>
  <c r="H68" i="16"/>
  <c r="I57" i="8"/>
  <c r="J57" i="8" s="1"/>
  <c r="J58" i="16" s="1"/>
  <c r="I24" i="8"/>
  <c r="J24" i="8" s="1"/>
  <c r="CY29" i="8"/>
  <c r="CZ29" i="8" s="1"/>
  <c r="CY67" i="8"/>
  <c r="CZ67" i="8" s="1"/>
  <c r="CY55" i="8"/>
  <c r="CZ55" i="8" s="1"/>
  <c r="W57" i="8"/>
  <c r="W42" i="8"/>
  <c r="I42" i="8"/>
  <c r="J42" i="8" s="1"/>
  <c r="J43" i="16" s="1"/>
  <c r="H48" i="16"/>
  <c r="CY47" i="8"/>
  <c r="CZ47" i="8" s="1"/>
  <c r="I36" i="8"/>
  <c r="CY36" i="8"/>
  <c r="CZ36" i="8" s="1"/>
  <c r="I49" i="8"/>
  <c r="J49" i="8" s="1"/>
  <c r="J50" i="16" s="1"/>
  <c r="CY49" i="8"/>
  <c r="CZ49" i="8" s="1"/>
  <c r="CY30" i="8"/>
  <c r="CZ30" i="8" s="1"/>
  <c r="W53" i="8"/>
  <c r="CY53" i="8"/>
  <c r="CZ53" i="8" s="1"/>
  <c r="I25" i="8"/>
  <c r="J25" i="8" s="1"/>
  <c r="CY25" i="8"/>
  <c r="CZ25" i="8" s="1"/>
  <c r="W61" i="8"/>
  <c r="CY61" i="8"/>
  <c r="CZ61" i="8" s="1"/>
  <c r="W35" i="8"/>
  <c r="CY35" i="8"/>
  <c r="CZ35" i="8" s="1"/>
  <c r="W43" i="8"/>
  <c r="CY43" i="8"/>
  <c r="CZ43" i="8" s="1"/>
  <c r="W48" i="8"/>
  <c r="CY48" i="8"/>
  <c r="CZ48" i="8" s="1"/>
  <c r="W33" i="8"/>
  <c r="CY33" i="8"/>
  <c r="CZ33" i="8" s="1"/>
  <c r="I38" i="8"/>
  <c r="CY38" i="8"/>
  <c r="CZ38" i="8" s="1"/>
  <c r="I62" i="8"/>
  <c r="J62" i="8" s="1"/>
  <c r="J63" i="16" s="1"/>
  <c r="CY62" i="8"/>
  <c r="CZ62" i="8" s="1"/>
  <c r="I56" i="8"/>
  <c r="J56" i="8" s="1"/>
  <c r="J57" i="16" s="1"/>
  <c r="CY56" i="8"/>
  <c r="CZ56" i="8" s="1"/>
  <c r="I59" i="8"/>
  <c r="J59" i="8" s="1"/>
  <c r="J60" i="16" s="1"/>
  <c r="CY59" i="8"/>
  <c r="CZ59" i="8" s="1"/>
  <c r="W45" i="8"/>
  <c r="CY45" i="8"/>
  <c r="CZ45" i="8" s="1"/>
  <c r="W31" i="8"/>
  <c r="CY31" i="8"/>
  <c r="CZ31" i="8" s="1"/>
  <c r="W26" i="8"/>
  <c r="CY26" i="8"/>
  <c r="CZ26" i="8" s="1"/>
  <c r="H61" i="16"/>
  <c r="CY60" i="8"/>
  <c r="CZ60" i="8" s="1"/>
  <c r="W41" i="8"/>
  <c r="CY41" i="8"/>
  <c r="CZ41" i="8" s="1"/>
  <c r="I32" i="8"/>
  <c r="CY32" i="8"/>
  <c r="CZ32" i="8" s="1"/>
  <c r="I69" i="8"/>
  <c r="J69" i="8" s="1"/>
  <c r="J70" i="16" s="1"/>
  <c r="CY69" i="8"/>
  <c r="CZ69" i="8" s="1"/>
  <c r="I21" i="8"/>
  <c r="J21" i="8" s="1"/>
  <c r="CY21" i="8"/>
  <c r="CZ21" i="8" s="1"/>
  <c r="I20" i="8"/>
  <c r="J20" i="8" s="1"/>
  <c r="CY20" i="8"/>
  <c r="CZ20" i="8" s="1"/>
  <c r="W18" i="8"/>
  <c r="CY18" i="8"/>
  <c r="CZ18" i="8" s="1"/>
  <c r="W60" i="8"/>
  <c r="I60" i="8"/>
  <c r="J60" i="8" s="1"/>
  <c r="J61" i="16" s="1"/>
  <c r="B22" i="8"/>
  <c r="B23" i="16" s="1"/>
  <c r="B28" i="8"/>
  <c r="B29" i="16" s="1"/>
  <c r="B34" i="8"/>
  <c r="B35" i="16" s="1"/>
  <c r="E51" i="16"/>
  <c r="F60" i="8"/>
  <c r="F61" i="16" s="1"/>
  <c r="E22" i="16"/>
  <c r="E45" i="16"/>
  <c r="I33" i="8"/>
  <c r="J33" i="8" s="1"/>
  <c r="E25" i="16"/>
  <c r="E70" i="16"/>
  <c r="I47" i="8"/>
  <c r="I48" i="16" s="1"/>
  <c r="E48" i="16"/>
  <c r="F61" i="8"/>
  <c r="F62" i="16" s="1"/>
  <c r="W47" i="8"/>
  <c r="E30" i="16"/>
  <c r="E31" i="16"/>
  <c r="E69" i="16"/>
  <c r="E63" i="16"/>
  <c r="F49" i="8"/>
  <c r="F50" i="16" s="1"/>
  <c r="F20" i="8"/>
  <c r="F21" i="16" s="1"/>
  <c r="E28" i="16"/>
  <c r="E38" i="16"/>
  <c r="F38" i="8"/>
  <c r="F39" i="16" s="1"/>
  <c r="F25" i="8"/>
  <c r="F26" i="16" s="1"/>
  <c r="F23" i="8"/>
  <c r="F24" i="16" s="1"/>
  <c r="E57" i="16"/>
  <c r="F56" i="8"/>
  <c r="F57" i="16" s="1"/>
  <c r="F51" i="8"/>
  <c r="F52" i="16" s="1"/>
  <c r="E52" i="16"/>
  <c r="E66" i="16"/>
  <c r="W20" i="8"/>
  <c r="E49" i="16"/>
  <c r="E32" i="16"/>
  <c r="F31" i="8"/>
  <c r="F32" i="16" s="1"/>
  <c r="E33" i="16"/>
  <c r="F32" i="8"/>
  <c r="F33" i="16" s="1"/>
  <c r="E56" i="16"/>
  <c r="F55" i="8"/>
  <c r="F56" i="16" s="1"/>
  <c r="F42" i="8"/>
  <c r="F43" i="16" s="1"/>
  <c r="E43" i="16"/>
  <c r="F36" i="8"/>
  <c r="F37" i="16" s="1"/>
  <c r="E37" i="16"/>
  <c r="F67" i="8"/>
  <c r="F68" i="16" s="1"/>
  <c r="E68" i="16"/>
  <c r="F43" i="8"/>
  <c r="F44" i="16" s="1"/>
  <c r="E44" i="16"/>
  <c r="H44" i="16"/>
  <c r="I43" i="8"/>
  <c r="I44" i="16" s="1"/>
  <c r="I41" i="8"/>
  <c r="I42" i="16" s="1"/>
  <c r="H54" i="16"/>
  <c r="E40" i="16"/>
  <c r="F39" i="8"/>
  <c r="F40" i="16" s="1"/>
  <c r="F26" i="8"/>
  <c r="F27" i="16" s="1"/>
  <c r="E27" i="16"/>
  <c r="F59" i="8"/>
  <c r="F60" i="16" s="1"/>
  <c r="E60" i="16"/>
  <c r="F18" i="8"/>
  <c r="F19" i="16" s="1"/>
  <c r="E19" i="16"/>
  <c r="I45" i="8"/>
  <c r="J45" i="8" s="1"/>
  <c r="J46" i="16" s="1"/>
  <c r="H63" i="16"/>
  <c r="W62" i="8"/>
  <c r="H50" i="16"/>
  <c r="H49" i="16"/>
  <c r="W49" i="8"/>
  <c r="I31" i="8"/>
  <c r="J31" i="8" s="1"/>
  <c r="I18" i="8"/>
  <c r="J18" i="8" s="1"/>
  <c r="I35" i="8"/>
  <c r="J35" i="8" s="1"/>
  <c r="H70" i="16"/>
  <c r="W69" i="8"/>
  <c r="W38" i="8"/>
  <c r="W32" i="8"/>
  <c r="I53" i="8"/>
  <c r="J53" i="8" s="1"/>
  <c r="J54" i="16" s="1"/>
  <c r="H42" i="16"/>
  <c r="H60" i="16"/>
  <c r="I26" i="8"/>
  <c r="I48" i="8"/>
  <c r="J48" i="8" s="1"/>
  <c r="J49" i="16" s="1"/>
  <c r="W30" i="8"/>
  <c r="H46" i="16"/>
  <c r="W25" i="8"/>
  <c r="I30" i="8"/>
  <c r="J30" i="8" s="1"/>
  <c r="H62" i="16"/>
  <c r="W59" i="8"/>
  <c r="H57" i="16"/>
  <c r="I61" i="8"/>
  <c r="J61" i="8" s="1"/>
  <c r="J62" i="16" s="1"/>
  <c r="W56" i="8"/>
  <c r="W36" i="8"/>
  <c r="W21" i="8"/>
  <c r="J67" i="8"/>
  <c r="J68" i="16" s="1"/>
  <c r="I68" i="16"/>
  <c r="J55" i="8"/>
  <c r="J56" i="16" s="1"/>
  <c r="I56" i="16"/>
  <c r="J50" i="8"/>
  <c r="J51" i="16" s="1"/>
  <c r="I51" i="16"/>
  <c r="J36" i="16" l="1"/>
  <c r="I58" i="16"/>
  <c r="J44" i="8"/>
  <c r="J45" i="16" s="1"/>
  <c r="J19" i="8"/>
  <c r="J20" i="16" s="1"/>
  <c r="J63" i="8"/>
  <c r="J64" i="16" s="1"/>
  <c r="I57" i="16"/>
  <c r="G37" i="16"/>
  <c r="H37" i="16"/>
  <c r="I37" i="16"/>
  <c r="H38" i="16"/>
  <c r="I38" i="16"/>
  <c r="J38" i="16"/>
  <c r="G38" i="16"/>
  <c r="H34" i="16"/>
  <c r="J34" i="16"/>
  <c r="I34" i="16"/>
  <c r="G34" i="16"/>
  <c r="G40" i="16"/>
  <c r="I40" i="16"/>
  <c r="H40" i="16"/>
  <c r="J40" i="16"/>
  <c r="H39" i="16"/>
  <c r="I39" i="16"/>
  <c r="G39" i="16"/>
  <c r="G31" i="16"/>
  <c r="I31" i="16"/>
  <c r="J31" i="16"/>
  <c r="H31" i="16"/>
  <c r="I21" i="16"/>
  <c r="J21" i="16"/>
  <c r="H21" i="16"/>
  <c r="G36" i="16"/>
  <c r="I36" i="16"/>
  <c r="H36" i="16"/>
  <c r="H25" i="16"/>
  <c r="I25" i="16"/>
  <c r="J25" i="16"/>
  <c r="G25" i="16"/>
  <c r="G27" i="16"/>
  <c r="H27" i="16"/>
  <c r="I27" i="16"/>
  <c r="G32" i="16"/>
  <c r="H32" i="16"/>
  <c r="I32" i="16"/>
  <c r="J32" i="16"/>
  <c r="H30" i="16"/>
  <c r="G30" i="16"/>
  <c r="I30" i="16"/>
  <c r="J30" i="16"/>
  <c r="H19" i="16"/>
  <c r="I19" i="16"/>
  <c r="J19" i="16"/>
  <c r="J22" i="16"/>
  <c r="H22" i="16"/>
  <c r="I22" i="16"/>
  <c r="I60" i="16"/>
  <c r="J65" i="8"/>
  <c r="J66" i="16" s="1"/>
  <c r="I33" i="16"/>
  <c r="G33" i="16"/>
  <c r="H33" i="16"/>
  <c r="G24" i="16"/>
  <c r="H24" i="16"/>
  <c r="I24" i="16"/>
  <c r="J24" i="16"/>
  <c r="G26" i="16"/>
  <c r="J26" i="16"/>
  <c r="H26" i="16"/>
  <c r="I26" i="16"/>
  <c r="J28" i="16"/>
  <c r="H28" i="16"/>
  <c r="I28" i="16"/>
  <c r="G28" i="16"/>
  <c r="J36" i="8"/>
  <c r="J37" i="16" s="1"/>
  <c r="J54" i="8"/>
  <c r="J55" i="16" s="1"/>
  <c r="I43" i="16"/>
  <c r="J68" i="8"/>
  <c r="J69" i="16" s="1"/>
  <c r="I52" i="16"/>
  <c r="J66" i="8"/>
  <c r="J67" i="16" s="1"/>
  <c r="J32" i="8"/>
  <c r="J33" i="16" s="1"/>
  <c r="I63" i="16"/>
  <c r="G19" i="16"/>
  <c r="G21" i="16"/>
  <c r="I50" i="16"/>
  <c r="G22" i="16"/>
  <c r="J38" i="8"/>
  <c r="J39" i="16" s="1"/>
  <c r="I70" i="16"/>
  <c r="I61" i="16"/>
  <c r="J43" i="8"/>
  <c r="J44" i="16" s="1"/>
  <c r="J47" i="8"/>
  <c r="J48" i="16" s="1"/>
  <c r="J41" i="8"/>
  <c r="J42" i="16" s="1"/>
  <c r="I46" i="16"/>
  <c r="I54" i="16"/>
  <c r="I49" i="16"/>
  <c r="J26" i="8"/>
  <c r="J27" i="16" s="1"/>
  <c r="I62" i="16"/>
  <c r="CX17" i="8"/>
  <c r="P17" i="8"/>
  <c r="H17" i="8"/>
  <c r="CY17" i="8" l="1"/>
  <c r="CZ17" i="8" s="1"/>
  <c r="I17" i="8"/>
  <c r="W17" i="8"/>
  <c r="I18" i="16" l="1"/>
  <c r="H18" i="16"/>
  <c r="G18" i="16"/>
  <c r="J17" i="8"/>
  <c r="J18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Henson</author>
  </authors>
  <commentList>
    <comment ref="X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Unit number</t>
        </r>
      </text>
    </comment>
    <comment ref="S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Thomas Henson:</t>
        </r>
        <r>
          <rPr>
            <sz val="9"/>
            <color indexed="81"/>
            <rFont val="Tahoma"/>
            <family val="2"/>
          </rPr>
          <t xml:space="preserve">
Language number
</t>
        </r>
      </text>
    </comment>
  </commentList>
</comments>
</file>

<file path=xl/sharedStrings.xml><?xml version="1.0" encoding="utf-8"?>
<sst xmlns="http://schemas.openxmlformats.org/spreadsheetml/2006/main" count="773" uniqueCount="245">
  <si>
    <t>Drehzahlstufe:</t>
  </si>
  <si>
    <t>Regelspannung: [V]</t>
  </si>
  <si>
    <t>Heizen:</t>
  </si>
  <si>
    <t>Eingabefelder</t>
  </si>
  <si>
    <t>Temperaturen</t>
  </si>
  <si>
    <t>Auslegungsrandbedingungen</t>
  </si>
  <si>
    <t>Leistungsaufnahme [W]</t>
  </si>
  <si>
    <t>**Schallleistungspegel nach ISO 3741:2010</t>
  </si>
  <si>
    <t>***Schalldruckpegel bei angenommener Raumdämpfung von 8dB(A)</t>
  </si>
  <si>
    <t>Schalldruckpegel *** [dB(A)]</t>
  </si>
  <si>
    <t>Kühlen:</t>
  </si>
  <si>
    <t>n-value</t>
  </si>
  <si>
    <t>Verwarmen:</t>
  </si>
  <si>
    <t>Koelen:</t>
  </si>
  <si>
    <t>Stuurspanning: [V]</t>
  </si>
  <si>
    <t>Geluidsdruk *** [dB(A)]</t>
  </si>
  <si>
    <t>Opgenomen elektr. vermogen [W]</t>
  </si>
  <si>
    <t>Snelheidsniveau:</t>
  </si>
  <si>
    <t>Randvoorwaarden</t>
  </si>
  <si>
    <t>Invulformulier</t>
  </si>
  <si>
    <t>**Geluidsvermogen gemeten volgens ISO 3741:2010</t>
  </si>
  <si>
    <t>***Geluidsdruk bij een aangenomen ruimtedemping van 8 dB(A)</t>
  </si>
  <si>
    <t>Temperatures</t>
  </si>
  <si>
    <t>Heating:</t>
  </si>
  <si>
    <t>Cooling:</t>
  </si>
  <si>
    <t>Speed level:</t>
  </si>
  <si>
    <t>Control voltage [V]</t>
  </si>
  <si>
    <t>Sound pressure *** [dB(A)]</t>
  </si>
  <si>
    <t>Electrical power [W]</t>
  </si>
  <si>
    <t>**Sound power according to ISO 3741:2010</t>
  </si>
  <si>
    <t>***Sound pressure with an assumed room damping of 8dB(A)</t>
  </si>
  <si>
    <t>Conditions</t>
  </si>
  <si>
    <t>Niveau de vitesse</t>
  </si>
  <si>
    <t>Formulary</t>
  </si>
  <si>
    <t>Formulaire</t>
  </si>
  <si>
    <t>Voltage [V]</t>
  </si>
  <si>
    <t>Refroidir:</t>
  </si>
  <si>
    <t>Pression sonore *** [dB(A)]</t>
  </si>
  <si>
    <t>Puissance absorbée [W]</t>
  </si>
  <si>
    <t>Puissance sonore ** [dB(A)]</t>
  </si>
  <si>
    <t>**Puissance sonore testé selon ISO 3741:2010</t>
  </si>
  <si>
    <t>***Pression sonore avec une atténuation ambiante du 8dB(A)</t>
  </si>
  <si>
    <t>Geluidsvermogen ** [dB(A)]</t>
  </si>
  <si>
    <t>Sound power ** [dB(A)]</t>
  </si>
  <si>
    <t>Schallleistungspegel ** [dB(A)]</t>
  </si>
  <si>
    <t>Températures</t>
  </si>
  <si>
    <t>Chauffer:</t>
  </si>
  <si>
    <t>Q_verw</t>
  </si>
  <si>
    <t>dP_verw</t>
  </si>
  <si>
    <t>a</t>
  </si>
  <si>
    <t>b</t>
  </si>
  <si>
    <t>Temp</t>
  </si>
  <si>
    <t>Q_voelb_c</t>
  </si>
  <si>
    <t>dP_cool</t>
  </si>
  <si>
    <t>Geluid_P</t>
  </si>
  <si>
    <t>P_elek</t>
  </si>
  <si>
    <t>V_air</t>
  </si>
  <si>
    <t>*Waardes gemeten volgens EN 16430</t>
  </si>
  <si>
    <t>*Values according to EN 16430</t>
  </si>
  <si>
    <t>*Leistungsangaben nach EN 16430</t>
  </si>
  <si>
    <t>*Testé selon EN 16430</t>
  </si>
  <si>
    <t>H</t>
  </si>
  <si>
    <t>B</t>
  </si>
  <si>
    <t>L</t>
  </si>
  <si>
    <t>n- heating</t>
  </si>
  <si>
    <t>n- cooling</t>
  </si>
  <si>
    <t>8 &amp; 10</t>
  </si>
  <si>
    <t>p_atm</t>
  </si>
  <si>
    <t>voelbare koelcapaciteit</t>
  </si>
  <si>
    <t>totale koelcapaciteit</t>
  </si>
  <si>
    <t>CF,h</t>
  </si>
  <si>
    <t>CF,c</t>
  </si>
  <si>
    <t>Clima H8 B18</t>
  </si>
  <si>
    <t>Clima H10 B18</t>
  </si>
  <si>
    <t>Clima H13 B32 2P</t>
  </si>
  <si>
    <t>Clima H13 B32 4P</t>
  </si>
  <si>
    <t>Clima H19 B34 2P</t>
  </si>
  <si>
    <t>Clima H19 B34 4P</t>
  </si>
  <si>
    <t>Clima Canal</t>
  </si>
  <si>
    <t>h[mm]</t>
  </si>
  <si>
    <t>cf_h</t>
  </si>
  <si>
    <t>Norsk</t>
  </si>
  <si>
    <t>Français</t>
  </si>
  <si>
    <t>Deutsch</t>
  </si>
  <si>
    <t>English</t>
  </si>
  <si>
    <t>Nederlands</t>
  </si>
  <si>
    <t>Hastighet:</t>
  </si>
  <si>
    <t>Styresignal[V]</t>
  </si>
  <si>
    <t>Lydtrykk *** [dB(A)]</t>
  </si>
  <si>
    <t>Lydeffekt ** [dB(A)]</t>
  </si>
  <si>
    <t>Elektrisk effekt [W]</t>
  </si>
  <si>
    <t>Tur vanntemp.</t>
  </si>
  <si>
    <t>Retur vanntemp.</t>
  </si>
  <si>
    <t>Rom temp.</t>
  </si>
  <si>
    <t>Temperaturer</t>
  </si>
  <si>
    <t>Varme:</t>
  </si>
  <si>
    <t>Kjøling:</t>
  </si>
  <si>
    <t>Modell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</si>
  <si>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</si>
  <si>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</si>
  <si>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</si>
  <si>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</si>
  <si>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</si>
  <si>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</si>
  <si>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</si>
  <si>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</si>
  <si>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</si>
  <si>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</si>
  <si>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</si>
  <si>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13/27</t>
  </si>
  <si>
    <t>13/32</t>
  </si>
  <si>
    <t>Clima H13 B27 4P</t>
  </si>
  <si>
    <t>Eenheidsstelsel</t>
  </si>
  <si>
    <t>Unit conversion</t>
  </si>
  <si>
    <t>Einheiten</t>
  </si>
  <si>
    <t>Système unitaire</t>
  </si>
  <si>
    <t>Enhetssystem</t>
  </si>
  <si>
    <t>Nivel de velocidad:</t>
  </si>
  <si>
    <t xml:space="preserve"> Voltaje control [V]</t>
  </si>
  <si>
    <t>Presión sonora *** [dB(A)]</t>
  </si>
  <si>
    <t>Potencia sonora ** [dB(A)]</t>
  </si>
  <si>
    <t>Potencia eléctrica absorbida [W]</t>
  </si>
  <si>
    <t>Convers. de unidades</t>
  </si>
  <si>
    <t>calefac.</t>
  </si>
  <si>
    <t>enfria.</t>
  </si>
  <si>
    <t>altura</t>
  </si>
  <si>
    <t>ancho</t>
  </si>
  <si>
    <t>longitud</t>
  </si>
  <si>
    <t>høyde</t>
  </si>
  <si>
    <t>bredde</t>
  </si>
  <si>
    <t>lengde</t>
  </si>
  <si>
    <t>hauteur</t>
  </si>
  <si>
    <t>largeur</t>
  </si>
  <si>
    <t>longueur</t>
  </si>
  <si>
    <t>höhe</t>
  </si>
  <si>
    <t>breite</t>
  </si>
  <si>
    <t>länge</t>
  </si>
  <si>
    <t>height</t>
  </si>
  <si>
    <t>width</t>
  </si>
  <si>
    <t>length</t>
  </si>
  <si>
    <t>hoogte</t>
  </si>
  <si>
    <t>breedte</t>
  </si>
  <si>
    <t>lengte</t>
  </si>
  <si>
    <t>Geplaatste hoogte</t>
  </si>
  <si>
    <t>Altitude</t>
  </si>
  <si>
    <t>Platzierte Höhe</t>
  </si>
  <si>
    <t>Hauteur placée</t>
  </si>
  <si>
    <t>Plassert høyde</t>
  </si>
  <si>
    <t>Altitud</t>
  </si>
  <si>
    <t>Model</t>
  </si>
  <si>
    <t>Español</t>
  </si>
  <si>
    <t>Selectiontool Clima Canal</t>
  </si>
  <si>
    <t>Relatieve vochtigheid</t>
  </si>
  <si>
    <t>Relative humidity</t>
  </si>
  <si>
    <t>Relative Luftfeuchtigkeit</t>
  </si>
  <si>
    <t>Humidité relative</t>
  </si>
  <si>
    <t>Relativ fuktighet</t>
  </si>
  <si>
    <t>Humedad relativa</t>
  </si>
  <si>
    <t>Temperaturas</t>
  </si>
  <si>
    <t>Calefacción:</t>
  </si>
  <si>
    <t>Agua impulsión</t>
  </si>
  <si>
    <t>Agua retorno</t>
  </si>
  <si>
    <t>Ambiente (bulbo seco)</t>
  </si>
  <si>
    <t>Enfriamiento:</t>
  </si>
  <si>
    <t>Taal/Language/Sprache</t>
  </si>
  <si>
    <t>*La potencia de enfriamiento se calcula según la norma EN 16430 con ventiladores de todas las alturas.</t>
  </si>
  <si>
    <t>**Potencia sonora según ISO 3741: 2010.</t>
  </si>
  <si>
    <t>***Nivel de presión acústica con una amortiguación ambiental supuesta de 8 dB (A).</t>
  </si>
  <si>
    <t>Kopieer alle data</t>
  </si>
  <si>
    <t>SI-eenheden</t>
  </si>
  <si>
    <t>Imperiale-eenheden</t>
  </si>
  <si>
    <t>Copy all data</t>
  </si>
  <si>
    <t>SI-units</t>
  </si>
  <si>
    <t>Imperial-units</t>
  </si>
  <si>
    <t>Kopieren Sie alle daten</t>
  </si>
  <si>
    <t>SI-einheiten</t>
  </si>
  <si>
    <t>Imperiale-einheiten</t>
  </si>
  <si>
    <t>Copier toutes des données</t>
  </si>
  <si>
    <t>Unités-SI</t>
  </si>
  <si>
    <t>Unités-Impériales</t>
  </si>
  <si>
    <t>Kopier alle data</t>
  </si>
  <si>
    <t>SI-enheter</t>
  </si>
  <si>
    <t>Imperiale-enheter</t>
  </si>
  <si>
    <t>Copiar todos los datos</t>
  </si>
  <si>
    <t>Unidades-SI</t>
  </si>
  <si>
    <t>Unidades-Imperial</t>
  </si>
  <si>
    <t>Höjd över havet</t>
  </si>
  <si>
    <t>Värme:</t>
  </si>
  <si>
    <t>Tillopp</t>
  </si>
  <si>
    <t>Retur</t>
  </si>
  <si>
    <t>Rum (torr)</t>
  </si>
  <si>
    <t>Kyla:</t>
  </si>
  <si>
    <t>rel. Fuktighet</t>
  </si>
  <si>
    <t>Fläkthastighet</t>
  </si>
  <si>
    <t>Spänning, Fläkt [V]</t>
  </si>
  <si>
    <t>Ljudtryck *** [dB(A)]</t>
  </si>
  <si>
    <t>Ljudeffekt ** [dB(A)]</t>
  </si>
  <si>
    <t>Effektförbrukning [W]</t>
  </si>
  <si>
    <t>värme!</t>
  </si>
  <si>
    <t>kyla!</t>
  </si>
  <si>
    <t>höjd</t>
  </si>
  <si>
    <t>djup</t>
  </si>
  <si>
    <t>längd</t>
  </si>
  <si>
    <t>**Ljudeffekt enligt ISO 3741: 2010</t>
  </si>
  <si>
    <t>***Ljudtryck med en antagen rumsdämpning på 8dB (A),</t>
  </si>
  <si>
    <t>*Värden enligt EN16430</t>
  </si>
  <si>
    <t>Kopírovat všechna data</t>
  </si>
  <si>
    <t>Mezinárodní (Sl)</t>
  </si>
  <si>
    <t>Imperiální</t>
  </si>
  <si>
    <t>Kopiera all data</t>
  </si>
  <si>
    <t>Imperiella-enheter</t>
  </si>
  <si>
    <t>Teploty</t>
  </si>
  <si>
    <t>topení!</t>
  </si>
  <si>
    <t>chlazení!</t>
  </si>
  <si>
    <t>Akustický tlak *** [dB(A)]</t>
  </si>
  <si>
    <t>Akustický výkon ** [dB(A)]</t>
  </si>
  <si>
    <t>Elektrický výkon [W]</t>
  </si>
  <si>
    <t>Rychlost</t>
  </si>
  <si>
    <t>Ovládací napětí [V]</t>
  </si>
  <si>
    <t>*Hodnoty podle EN16430</t>
  </si>
  <si>
    <t>**Akustický tlak podle ISO 3741:2010</t>
  </si>
  <si>
    <t>***Akustický výkon s předpokládaným útlumem místnosti 8 dB (A).</t>
  </si>
  <si>
    <t>Svenska</t>
  </si>
  <si>
    <t>Čeština</t>
  </si>
  <si>
    <t>ExtraTaal1</t>
  </si>
  <si>
    <t>ExtraTaal2</t>
  </si>
  <si>
    <t>ExtraTaal3</t>
  </si>
  <si>
    <t>Topení:</t>
  </si>
  <si>
    <t>Voda na přívodu</t>
  </si>
  <si>
    <t>Voda na zpátečce</t>
  </si>
  <si>
    <t>Chlazení:</t>
  </si>
  <si>
    <t>Relativní vlhkost</t>
  </si>
  <si>
    <t>Převod jednotek</t>
  </si>
  <si>
    <t>Výška umístění</t>
  </si>
  <si>
    <t>Langue/Språk/Lengua/Jazyk</t>
  </si>
  <si>
    <t>"Suchá" Teplota vzduchu</t>
  </si>
  <si>
    <t>Výška</t>
  </si>
  <si>
    <t>Délka</t>
  </si>
  <si>
    <t>Šířka</t>
  </si>
  <si>
    <t>Clima H15 B32 4P</t>
  </si>
  <si>
    <t>Clima H15 B32 2P</t>
  </si>
  <si>
    <t>SK</t>
  </si>
  <si>
    <t>np</t>
  </si>
  <si>
    <t>patmst</t>
  </si>
  <si>
    <t>v2026-03-23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</si>
</sst>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%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5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7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b/>
      <sz val="11"/>
      <color rgb="FF305496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lightUp">
        <bgColor rgb="FF7030A0"/>
      </patternFill>
    </fill>
    <fill>
      <patternFill patternType="solid">
        <fgColor theme="0" tint="-0.249977111117893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/>
      <right style="double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</borders>
  <cellStyleXfs count="2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35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1" fillId="2" borderId="0" xfId="0" applyFont="1" applyFill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9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164" fontId="9" fillId="2" borderId="0" xfId="0" applyNumberFormat="1" applyFont="1" applyFill="1" applyAlignment="1">
      <alignment horizontal="center" vertical="center"/>
    </xf>
    <xf numFmtId="0" fontId="0" fillId="2" borderId="17" xfId="0" applyFill="1" applyBorder="1"/>
    <xf numFmtId="0" fontId="0" fillId="3" borderId="0" xfId="0" applyFill="1" applyAlignment="1">
      <alignment horizontal="left"/>
    </xf>
    <xf numFmtId="0" fontId="0" fillId="2" borderId="0" xfId="0" applyFill="1" applyProtection="1">
      <protection locked="0"/>
    </xf>
    <xf numFmtId="9" fontId="0" fillId="4" borderId="1" xfId="0" applyNumberFormat="1" applyFill="1" applyBorder="1" applyAlignment="1">
      <alignment horizont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5" fillId="2" borderId="0" xfId="0" applyFont="1" applyFill="1" applyProtection="1">
      <protection locked="0"/>
    </xf>
    <xf numFmtId="0" fontId="2" fillId="2" borderId="20" xfId="0" applyFont="1" applyFill="1" applyBorder="1" applyAlignment="1" applyProtection="1">
      <alignment horizontal="center" vertical="center" textRotation="255"/>
      <protection locked="0"/>
    </xf>
    <xf numFmtId="0" fontId="2" fillId="2" borderId="21" xfId="0" applyFont="1" applyFill="1" applyBorder="1" applyAlignment="1" applyProtection="1">
      <alignment horizontal="center" vertical="center" textRotation="255"/>
      <protection locked="0"/>
    </xf>
    <xf numFmtId="0" fontId="2" fillId="2" borderId="22" xfId="0" applyFont="1" applyFill="1" applyBorder="1" applyAlignment="1" applyProtection="1">
      <alignment horizontal="center" vertical="center" textRotation="255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>
      <alignment horizontal="center"/>
    </xf>
    <xf numFmtId="0" fontId="9" fillId="2" borderId="8" xfId="0" applyFont="1" applyFill="1" applyBorder="1"/>
    <xf numFmtId="1" fontId="9" fillId="2" borderId="6" xfId="0" applyNumberFormat="1" applyFont="1" applyFill="1" applyBorder="1" applyAlignment="1">
      <alignment horizontal="center" vertical="center"/>
    </xf>
    <xf numFmtId="1" fontId="9" fillId="2" borderId="16" xfId="0" applyNumberFormat="1" applyFont="1" applyFill="1" applyBorder="1" applyAlignment="1">
      <alignment horizontal="center" vertical="center"/>
    </xf>
    <xf numFmtId="0" fontId="15" fillId="2" borderId="0" xfId="0" applyFont="1" applyFill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center" vertical="center"/>
      <protection locked="0"/>
    </xf>
    <xf numFmtId="0" fontId="15" fillId="5" borderId="1" xfId="0" applyFont="1" applyFill="1" applyBorder="1" applyAlignment="1" applyProtection="1">
      <alignment horizontal="center" vertical="center"/>
      <protection locked="0"/>
    </xf>
    <xf numFmtId="0" fontId="15" fillId="2" borderId="29" xfId="0" applyFont="1" applyFill="1" applyBorder="1" applyAlignment="1" applyProtection="1">
      <alignment horizontal="center" vertical="center"/>
      <protection locked="0"/>
    </xf>
    <xf numFmtId="164" fontId="15" fillId="2" borderId="29" xfId="0" applyNumberFormat="1" applyFont="1" applyFill="1" applyBorder="1" applyAlignment="1" applyProtection="1">
      <alignment horizontal="center" vertical="center"/>
      <protection locked="0"/>
    </xf>
    <xf numFmtId="0" fontId="15" fillId="2" borderId="27" xfId="0" applyFont="1" applyFill="1" applyBorder="1" applyAlignment="1" applyProtection="1">
      <alignment horizontal="center" vertical="center"/>
      <protection locked="0"/>
    </xf>
    <xf numFmtId="0" fontId="15" fillId="2" borderId="24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center" vertical="center"/>
      <protection locked="0"/>
    </xf>
    <xf numFmtId="164" fontId="15" fillId="2" borderId="0" xfId="0" applyNumberFormat="1" applyFont="1" applyFill="1" applyAlignment="1" applyProtection="1">
      <alignment horizontal="center" vertical="center"/>
      <protection locked="0"/>
    </xf>
    <xf numFmtId="0" fontId="15" fillId="2" borderId="25" xfId="0" applyFont="1" applyFill="1" applyBorder="1" applyAlignment="1" applyProtection="1">
      <alignment horizontal="center" vertical="center"/>
      <protection locked="0"/>
    </xf>
    <xf numFmtId="0" fontId="15" fillId="2" borderId="26" xfId="0" applyFont="1" applyFill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 vertical="center"/>
      <protection locked="0"/>
    </xf>
    <xf numFmtId="164" fontId="15" fillId="2" borderId="30" xfId="0" applyNumberFormat="1" applyFont="1" applyFill="1" applyBorder="1" applyAlignment="1" applyProtection="1">
      <alignment horizontal="center" vertical="center"/>
      <protection locked="0"/>
    </xf>
    <xf numFmtId="0" fontId="15" fillId="2" borderId="28" xfId="0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7" borderId="1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 textRotation="255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/>
    <xf numFmtId="165" fontId="18" fillId="2" borderId="8" xfId="0" applyNumberFormat="1" applyFont="1" applyFill="1" applyBorder="1" applyAlignment="1">
      <alignment horizontal="center"/>
    </xf>
    <xf numFmtId="0" fontId="18" fillId="2" borderId="8" xfId="0" applyFont="1" applyFill="1" applyBorder="1"/>
    <xf numFmtId="0" fontId="19" fillId="2" borderId="1" xfId="0" applyFont="1" applyFill="1" applyBorder="1" applyAlignment="1" applyProtection="1">
      <alignment horizontal="center" vertical="center" textRotation="255" wrapText="1"/>
      <protection locked="0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0" xfId="0" applyFill="1" applyProtection="1">
      <protection hidden="1"/>
    </xf>
    <xf numFmtId="0" fontId="1" fillId="3" borderId="0" xfId="0" applyFont="1" applyFill="1" applyProtection="1"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9" fillId="2" borderId="8" xfId="0" applyFont="1" applyFill="1" applyBorder="1" applyProtection="1">
      <protection hidden="1"/>
    </xf>
    <xf numFmtId="165" fontId="17" fillId="2" borderId="8" xfId="0" applyNumberFormat="1" applyFont="1" applyFill="1" applyBorder="1" applyAlignment="1" applyProtection="1">
      <alignment horizontal="center"/>
      <protection hidden="1"/>
    </xf>
    <xf numFmtId="0" fontId="17" fillId="2" borderId="8" xfId="0" applyFont="1" applyFill="1" applyBorder="1" applyProtection="1"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 textRotation="255"/>
      <protection hidden="1"/>
    </xf>
    <xf numFmtId="0" fontId="16" fillId="2" borderId="0" xfId="0" applyFont="1" applyFill="1" applyAlignment="1" applyProtection="1">
      <alignment horizontal="center" vertical="center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166" fontId="0" fillId="2" borderId="1" xfId="0" applyNumberFormat="1" applyFill="1" applyBorder="1"/>
    <xf numFmtId="0" fontId="0" fillId="2" borderId="1" xfId="0" applyFill="1" applyBorder="1"/>
    <xf numFmtId="0" fontId="0" fillId="8" borderId="0" xfId="0" applyFill="1"/>
    <xf numFmtId="0" fontId="0" fillId="8" borderId="0" xfId="0" applyFill="1" applyProtection="1">
      <protection locked="0"/>
    </xf>
    <xf numFmtId="0" fontId="0" fillId="2" borderId="31" xfId="0" applyFill="1" applyBorder="1"/>
    <xf numFmtId="0" fontId="15" fillId="2" borderId="2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164" fontId="15" fillId="2" borderId="29" xfId="0" applyNumberFormat="1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4" fontId="15" fillId="2" borderId="0" xfId="0" applyNumberFormat="1" applyFont="1" applyFill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5" fillId="2" borderId="26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164" fontId="15" fillId="2" borderId="30" xfId="0" applyNumberFormat="1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Protection="1">
      <protection locked="0"/>
    </xf>
    <xf numFmtId="0" fontId="0" fillId="9" borderId="0" xfId="0" applyFill="1" applyProtection="1">
      <protection locked="0"/>
    </xf>
    <xf numFmtId="0" fontId="0" fillId="10" borderId="0" xfId="0" applyFill="1" applyProtection="1">
      <protection locked="0"/>
    </xf>
    <xf numFmtId="0" fontId="20" fillId="3" borderId="5" xfId="0" applyFont="1" applyFill="1" applyBorder="1" applyProtection="1">
      <protection hidden="1"/>
    </xf>
    <xf numFmtId="0" fontId="20" fillId="3" borderId="0" xfId="0" applyFont="1" applyFill="1" applyProtection="1">
      <protection hidden="1"/>
    </xf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Alignment="1" applyProtection="1">
      <alignment horizontal="center" vertical="center" textRotation="90" wrapText="1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0" fontId="1" fillId="3" borderId="5" xfId="0" applyFont="1" applyFill="1" applyBorder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22" fillId="2" borderId="0" xfId="0" applyFont="1" applyFill="1" applyProtection="1">
      <protection hidden="1"/>
    </xf>
    <xf numFmtId="0" fontId="23" fillId="2" borderId="0" xfId="0" applyFont="1" applyFill="1" applyAlignment="1" applyProtection="1">
      <alignment horizontal="center" vertical="center"/>
      <protection hidden="1"/>
    </xf>
    <xf numFmtId="1" fontId="22" fillId="2" borderId="5" xfId="0" applyNumberFormat="1" applyFont="1" applyFill="1" applyBorder="1" applyAlignment="1" applyProtection="1">
      <alignment horizontal="center" vertical="center"/>
      <protection hidden="1"/>
    </xf>
    <xf numFmtId="0" fontId="22" fillId="2" borderId="0" xfId="0" applyFont="1" applyFill="1" applyAlignment="1" applyProtection="1">
      <alignment horizontal="center" vertical="center"/>
      <protection hidden="1"/>
    </xf>
    <xf numFmtId="2" fontId="22" fillId="2" borderId="6" xfId="0" applyNumberFormat="1" applyFont="1" applyFill="1" applyBorder="1" applyAlignment="1" applyProtection="1">
      <alignment horizontal="center" vertical="center"/>
      <protection hidden="1"/>
    </xf>
    <xf numFmtId="1" fontId="22" fillId="2" borderId="0" xfId="0" applyNumberFormat="1" applyFont="1" applyFill="1" applyAlignment="1" applyProtection="1">
      <alignment horizontal="center" vertical="center"/>
      <protection hidden="1"/>
    </xf>
    <xf numFmtId="164" fontId="22" fillId="2" borderId="5" xfId="0" applyNumberFormat="1" applyFont="1" applyFill="1" applyBorder="1" applyAlignment="1" applyProtection="1">
      <alignment horizontal="center" vertical="center"/>
      <protection hidden="1"/>
    </xf>
    <xf numFmtId="164" fontId="22" fillId="2" borderId="6" xfId="0" applyNumberFormat="1" applyFont="1" applyFill="1" applyBorder="1" applyAlignment="1" applyProtection="1">
      <alignment horizontal="center" vertical="center"/>
      <protection hidden="1"/>
    </xf>
    <xf numFmtId="164" fontId="22" fillId="2" borderId="0" xfId="0" applyNumberFormat="1" applyFont="1" applyFill="1" applyAlignment="1" applyProtection="1">
      <alignment horizontal="center" vertical="center"/>
      <protection hidden="1"/>
    </xf>
    <xf numFmtId="1" fontId="22" fillId="2" borderId="6" xfId="0" applyNumberFormat="1" applyFont="1" applyFill="1" applyBorder="1" applyAlignment="1" applyProtection="1">
      <alignment horizontal="center" vertical="center"/>
      <protection hidden="1"/>
    </xf>
    <xf numFmtId="0" fontId="24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167" fontId="0" fillId="2" borderId="0" xfId="23" applyNumberFormat="1" applyFont="1" applyFill="1" applyProtection="1">
      <protection hidden="1"/>
    </xf>
    <xf numFmtId="0" fontId="0" fillId="12" borderId="0" xfId="0" applyFill="1" applyProtection="1">
      <protection locked="0"/>
    </xf>
    <xf numFmtId="0" fontId="15" fillId="12" borderId="0" xfId="0" applyFont="1" applyFill="1"/>
    <xf numFmtId="0" fontId="2" fillId="12" borderId="20" xfId="0" applyFont="1" applyFill="1" applyBorder="1" applyAlignment="1" applyProtection="1">
      <alignment horizontal="center" vertical="center" textRotation="255"/>
      <protection locked="0"/>
    </xf>
    <xf numFmtId="0" fontId="2" fillId="12" borderId="21" xfId="0" applyFont="1" applyFill="1" applyBorder="1" applyAlignment="1" applyProtection="1">
      <alignment horizontal="center" vertical="center" textRotation="255"/>
      <protection locked="0"/>
    </xf>
    <xf numFmtId="0" fontId="2" fillId="12" borderId="22" xfId="0" applyFont="1" applyFill="1" applyBorder="1" applyAlignment="1" applyProtection="1">
      <alignment horizontal="center" vertical="center" textRotation="255"/>
      <protection locked="0"/>
    </xf>
    <xf numFmtId="0" fontId="15" fillId="12" borderId="23" xfId="0" applyFont="1" applyFill="1" applyBorder="1" applyAlignment="1" applyProtection="1">
      <alignment horizontal="center" vertical="center"/>
      <protection locked="0"/>
    </xf>
    <xf numFmtId="0" fontId="15" fillId="12" borderId="1" xfId="0" applyFont="1" applyFill="1" applyBorder="1" applyAlignment="1" applyProtection="1">
      <alignment horizontal="center" vertical="center"/>
      <protection locked="0"/>
    </xf>
    <xf numFmtId="0" fontId="15" fillId="12" borderId="29" xfId="0" applyFont="1" applyFill="1" applyBorder="1" applyAlignment="1" applyProtection="1">
      <alignment horizontal="center" vertical="center"/>
      <protection locked="0"/>
    </xf>
    <xf numFmtId="164" fontId="15" fillId="12" borderId="29" xfId="0" applyNumberFormat="1" applyFont="1" applyFill="1" applyBorder="1" applyAlignment="1" applyProtection="1">
      <alignment horizontal="center" vertical="center"/>
      <protection locked="0"/>
    </xf>
    <xf numFmtId="0" fontId="15" fillId="12" borderId="27" xfId="0" applyFont="1" applyFill="1" applyBorder="1" applyAlignment="1" applyProtection="1">
      <alignment horizontal="center" vertical="center"/>
      <protection locked="0"/>
    </xf>
    <xf numFmtId="0" fontId="15" fillId="12" borderId="24" xfId="0" applyFont="1" applyFill="1" applyBorder="1" applyAlignment="1" applyProtection="1">
      <alignment horizontal="center" vertical="center"/>
      <protection locked="0"/>
    </xf>
    <xf numFmtId="0" fontId="15" fillId="12" borderId="0" xfId="0" applyFont="1" applyFill="1" applyAlignment="1" applyProtection="1">
      <alignment horizontal="center" vertical="center"/>
      <protection locked="0"/>
    </xf>
    <xf numFmtId="164" fontId="15" fillId="12" borderId="0" xfId="0" applyNumberFormat="1" applyFont="1" applyFill="1" applyAlignment="1" applyProtection="1">
      <alignment horizontal="center" vertical="center"/>
      <protection locked="0"/>
    </xf>
    <xf numFmtId="0" fontId="15" fillId="12" borderId="25" xfId="0" applyFont="1" applyFill="1" applyBorder="1" applyAlignment="1" applyProtection="1">
      <alignment horizontal="center" vertical="center"/>
      <protection locked="0"/>
    </xf>
    <xf numFmtId="0" fontId="15" fillId="12" borderId="26" xfId="0" applyFont="1" applyFill="1" applyBorder="1" applyAlignment="1" applyProtection="1">
      <alignment horizontal="center" vertical="center"/>
      <protection locked="0"/>
    </xf>
    <xf numFmtId="0" fontId="15" fillId="13" borderId="1" xfId="0" applyFont="1" applyFill="1" applyBorder="1" applyAlignment="1" applyProtection="1">
      <alignment horizontal="center" vertical="center"/>
      <protection locked="0"/>
    </xf>
    <xf numFmtId="0" fontId="15" fillId="12" borderId="30" xfId="0" applyFont="1" applyFill="1" applyBorder="1" applyAlignment="1" applyProtection="1">
      <alignment horizontal="center" vertical="center"/>
      <protection locked="0"/>
    </xf>
    <xf numFmtId="164" fontId="15" fillId="12" borderId="30" xfId="0" applyNumberFormat="1" applyFont="1" applyFill="1" applyBorder="1" applyAlignment="1" applyProtection="1">
      <alignment horizontal="center" vertical="center"/>
      <protection locked="0"/>
    </xf>
    <xf numFmtId="0" fontId="15" fillId="12" borderId="28" xfId="0" applyFont="1" applyFill="1" applyBorder="1" applyAlignment="1" applyProtection="1">
      <alignment horizontal="center" vertical="center"/>
      <protection locked="0"/>
    </xf>
    <xf numFmtId="0" fontId="16" fillId="12" borderId="1" xfId="0" applyFont="1" applyFill="1" applyBorder="1" applyAlignment="1" applyProtection="1">
      <alignment horizontal="center" vertical="center"/>
      <protection locked="0"/>
    </xf>
    <xf numFmtId="0" fontId="2" fillId="12" borderId="29" xfId="0" applyFont="1" applyFill="1" applyBorder="1" applyAlignment="1" applyProtection="1">
      <alignment horizontal="center" vertical="center"/>
      <protection locked="0"/>
    </xf>
    <xf numFmtId="0" fontId="16" fillId="12" borderId="27" xfId="0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26" fillId="2" borderId="0" xfId="0" applyFont="1" applyFill="1" applyProtection="1">
      <protection hidden="1"/>
    </xf>
    <xf numFmtId="0" fontId="27" fillId="3" borderId="43" xfId="0" applyFont="1" applyFill="1" applyBorder="1" applyAlignment="1" applyProtection="1">
      <alignment horizontal="center" vertical="center" textRotation="90" wrapText="1"/>
      <protection hidden="1"/>
    </xf>
    <xf numFmtId="0" fontId="27" fillId="3" borderId="44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6" fontId="0" fillId="9" borderId="1" xfId="0" applyNumberFormat="1" applyFill="1" applyBorder="1" applyAlignment="1">
      <alignment horizontal="center"/>
    </xf>
    <xf numFmtId="166" fontId="0" fillId="10" borderId="1" xfId="0" applyNumberFormat="1" applyFill="1" applyBorder="1" applyAlignment="1">
      <alignment horizontal="center"/>
    </xf>
    <xf numFmtId="165" fontId="18" fillId="2" borderId="0" xfId="0" applyNumberFormat="1" applyFont="1" applyFill="1" applyAlignment="1">
      <alignment horizontal="center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3" borderId="48" xfId="0" applyFont="1" applyFill="1" applyBorder="1" applyAlignment="1">
      <alignment horizontal="center" vertical="center" textRotation="90" wrapText="1"/>
    </xf>
    <xf numFmtId="0" fontId="1" fillId="3" borderId="49" xfId="0" applyFont="1" applyFill="1" applyBorder="1" applyAlignment="1">
      <alignment horizontal="center" vertical="center" textRotation="90" wrapText="1"/>
    </xf>
    <xf numFmtId="0" fontId="11" fillId="3" borderId="48" xfId="0" applyFont="1" applyFill="1" applyBorder="1" applyAlignment="1">
      <alignment horizontal="center" vertical="center" textRotation="90" wrapText="1"/>
    </xf>
    <xf numFmtId="0" fontId="1" fillId="3" borderId="50" xfId="0" applyFont="1" applyFill="1" applyBorder="1" applyAlignment="1">
      <alignment horizontal="center" vertical="center" textRotation="90" wrapText="1"/>
    </xf>
    <xf numFmtId="0" fontId="3" fillId="3" borderId="49" xfId="0" applyFont="1" applyFill="1" applyBorder="1" applyAlignment="1">
      <alignment horizontal="center" vertical="center" textRotation="90" wrapText="1"/>
    </xf>
    <xf numFmtId="0" fontId="12" fillId="3" borderId="48" xfId="0" applyFont="1" applyFill="1" applyBorder="1" applyAlignment="1">
      <alignment horizontal="center" vertical="center" textRotation="90" wrapText="1"/>
    </xf>
    <xf numFmtId="0" fontId="12" fillId="3" borderId="50" xfId="0" applyFont="1" applyFill="1" applyBorder="1" applyAlignment="1">
      <alignment horizontal="center" vertical="center" textRotation="90" wrapText="1"/>
    </xf>
    <xf numFmtId="0" fontId="13" fillId="3" borderId="48" xfId="0" applyFont="1" applyFill="1" applyBorder="1" applyAlignment="1">
      <alignment horizontal="center" vertical="center" textRotation="90" wrapText="1"/>
    </xf>
    <xf numFmtId="0" fontId="13" fillId="3" borderId="49" xfId="0" applyFont="1" applyFill="1" applyBorder="1" applyAlignment="1">
      <alignment horizontal="center" vertical="center" textRotation="90" wrapText="1"/>
    </xf>
    <xf numFmtId="0" fontId="14" fillId="3" borderId="48" xfId="0" applyFont="1" applyFill="1" applyBorder="1" applyAlignment="1">
      <alignment horizontal="center" vertical="center" textRotation="90" wrapText="1"/>
    </xf>
    <xf numFmtId="1" fontId="0" fillId="2" borderId="10" xfId="0" applyNumberFormat="1" applyFill="1" applyBorder="1" applyProtection="1">
      <protection locked="0"/>
    </xf>
    <xf numFmtId="2" fontId="19" fillId="2" borderId="0" xfId="0" applyNumberFormat="1" applyFont="1" applyFill="1" applyAlignment="1" applyProtection="1">
      <alignment horizontal="left"/>
      <protection hidden="1"/>
    </xf>
    <xf numFmtId="165" fontId="17" fillId="2" borderId="0" xfId="0" applyNumberFormat="1" applyFont="1" applyFill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0" fontId="30" fillId="3" borderId="0" xfId="0" applyFont="1" applyFill="1" applyAlignment="1" applyProtection="1">
      <alignment horizontal="center"/>
      <protection hidden="1"/>
    </xf>
    <xf numFmtId="0" fontId="0" fillId="3" borderId="0" xfId="0" applyFill="1" applyAlignment="1" applyProtection="1">
      <alignment horizontal="center" vertical="center" wrapText="1"/>
      <protection hidden="1"/>
    </xf>
    <xf numFmtId="0" fontId="2" fillId="3" borderId="6" xfId="0" applyFont="1" applyFill="1" applyBorder="1" applyAlignment="1" applyProtection="1">
      <alignment horizontal="center"/>
      <protection hidden="1"/>
    </xf>
    <xf numFmtId="1" fontId="8" fillId="3" borderId="6" xfId="0" applyNumberFormat="1" applyFont="1" applyFill="1" applyBorder="1" applyAlignment="1" applyProtection="1">
      <alignment horizontal="center"/>
      <protection locked="0"/>
    </xf>
    <xf numFmtId="0" fontId="30" fillId="3" borderId="6" xfId="0" applyFont="1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1" fontId="9" fillId="3" borderId="0" xfId="0" applyNumberFormat="1" applyFont="1" applyFill="1" applyAlignment="1">
      <alignment horizontal="left"/>
    </xf>
    <xf numFmtId="0" fontId="1" fillId="3" borderId="48" xfId="0" applyFont="1" applyFill="1" applyBorder="1" applyAlignment="1" applyProtection="1">
      <alignment horizontal="center" vertical="center" textRotation="90" wrapText="1"/>
      <protection hidden="1"/>
    </xf>
    <xf numFmtId="0" fontId="1" fillId="3" borderId="49" xfId="0" applyFont="1" applyFill="1" applyBorder="1" applyAlignment="1" applyProtection="1">
      <alignment horizontal="center" vertical="center" textRotation="90" wrapText="1"/>
      <protection hidden="1"/>
    </xf>
    <xf numFmtId="0" fontId="11" fillId="3" borderId="48" xfId="0" applyFont="1" applyFill="1" applyBorder="1" applyAlignment="1" applyProtection="1">
      <alignment horizontal="center" vertical="center" textRotation="90" wrapText="1"/>
      <protection hidden="1"/>
    </xf>
    <xf numFmtId="0" fontId="1" fillId="3" borderId="50" xfId="0" applyFont="1" applyFill="1" applyBorder="1" applyAlignment="1" applyProtection="1">
      <alignment horizontal="center" vertical="center" textRotation="90" wrapText="1"/>
      <protection hidden="1"/>
    </xf>
    <xf numFmtId="0" fontId="3" fillId="3" borderId="49" xfId="0" applyFont="1" applyFill="1" applyBorder="1" applyAlignment="1" applyProtection="1">
      <alignment horizontal="center" vertical="center" textRotation="90" wrapText="1"/>
      <protection hidden="1"/>
    </xf>
    <xf numFmtId="0" fontId="13" fillId="3" borderId="48" xfId="0" applyFont="1" applyFill="1" applyBorder="1" applyAlignment="1" applyProtection="1">
      <alignment horizontal="center" vertical="center" textRotation="90" wrapText="1"/>
      <protection hidden="1"/>
    </xf>
    <xf numFmtId="0" fontId="13" fillId="3" borderId="49" xfId="0" applyFont="1" applyFill="1" applyBorder="1" applyAlignment="1" applyProtection="1">
      <alignment horizontal="center" vertical="center" textRotation="90" wrapText="1"/>
      <protection hidden="1"/>
    </xf>
    <xf numFmtId="0" fontId="14" fillId="3" borderId="48" xfId="0" applyFont="1" applyFill="1" applyBorder="1" applyAlignment="1" applyProtection="1">
      <alignment horizontal="center" vertical="center" textRotation="90" wrapText="1"/>
      <protection hidden="1"/>
    </xf>
    <xf numFmtId="0" fontId="2" fillId="2" borderId="3" xfId="0" applyFon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2" fillId="2" borderId="3" xfId="0" applyFont="1" applyFill="1" applyBorder="1" applyAlignment="1" applyProtection="1">
      <alignment horizontal="right"/>
      <protection hidden="1"/>
    </xf>
    <xf numFmtId="0" fontId="32" fillId="3" borderId="48" xfId="0" applyFont="1" applyFill="1" applyBorder="1" applyAlignment="1" applyProtection="1">
      <alignment horizontal="center" vertical="center" textRotation="90" wrapText="1"/>
      <protection hidden="1"/>
    </xf>
    <xf numFmtId="0" fontId="32" fillId="3" borderId="49" xfId="0" applyFont="1" applyFill="1" applyBorder="1" applyAlignment="1" applyProtection="1">
      <alignment horizontal="center" vertical="center" textRotation="90" wrapText="1"/>
      <protection hidden="1"/>
    </xf>
    <xf numFmtId="0" fontId="32" fillId="3" borderId="48" xfId="0" applyFont="1" applyFill="1" applyBorder="1" applyAlignment="1">
      <alignment horizontal="center" vertical="center" textRotation="90" wrapText="1"/>
    </xf>
    <xf numFmtId="0" fontId="32" fillId="3" borderId="49" xfId="0" applyFont="1" applyFill="1" applyBorder="1" applyAlignment="1">
      <alignment horizontal="center" vertical="center" textRotation="90" wrapText="1"/>
    </xf>
    <xf numFmtId="0" fontId="33" fillId="3" borderId="49" xfId="0" applyFont="1" applyFill="1" applyBorder="1" applyAlignment="1" applyProtection="1">
      <alignment horizontal="center" vertical="center" textRotation="90" wrapText="1"/>
      <protection hidden="1"/>
    </xf>
    <xf numFmtId="0" fontId="33" fillId="3" borderId="50" xfId="0" applyFont="1" applyFill="1" applyBorder="1" applyAlignment="1" applyProtection="1">
      <alignment horizontal="center" vertical="center" textRotation="90" wrapText="1"/>
      <protection hidden="1"/>
    </xf>
    <xf numFmtId="0" fontId="33" fillId="3" borderId="48" xfId="0" applyFont="1" applyFill="1" applyBorder="1" applyAlignment="1" applyProtection="1">
      <alignment horizontal="center" vertical="center" textRotation="90" wrapText="1"/>
      <protection hidden="1"/>
    </xf>
    <xf numFmtId="1" fontId="9" fillId="12" borderId="2" xfId="0" applyNumberFormat="1" applyFont="1" applyFill="1" applyBorder="1" applyAlignment="1">
      <alignment horizontal="center" vertical="center"/>
    </xf>
    <xf numFmtId="1" fontId="9" fillId="12" borderId="4" xfId="0" applyNumberFormat="1" applyFont="1" applyFill="1" applyBorder="1" applyAlignment="1">
      <alignment horizontal="center" vertical="center"/>
    </xf>
    <xf numFmtId="1" fontId="9" fillId="12" borderId="5" xfId="0" applyNumberFormat="1" applyFont="1" applyFill="1" applyBorder="1" applyAlignment="1">
      <alignment horizontal="center" vertical="center"/>
    </xf>
    <xf numFmtId="1" fontId="9" fillId="12" borderId="6" xfId="0" applyNumberFormat="1" applyFont="1" applyFill="1" applyBorder="1" applyAlignment="1">
      <alignment horizontal="center" vertical="center"/>
    </xf>
    <xf numFmtId="0" fontId="33" fillId="3" borderId="49" xfId="0" applyFont="1" applyFill="1" applyBorder="1" applyAlignment="1">
      <alignment horizontal="center" vertical="center" textRotation="90" wrapText="1"/>
    </xf>
    <xf numFmtId="0" fontId="0" fillId="3" borderId="55" xfId="0" applyFill="1" applyBorder="1"/>
    <xf numFmtId="9" fontId="0" fillId="14" borderId="1" xfId="0" applyNumberFormat="1" applyFill="1" applyBorder="1" applyAlignment="1" applyProtection="1">
      <alignment horizontal="center"/>
      <protection locked="0"/>
    </xf>
    <xf numFmtId="0" fontId="0" fillId="2" borderId="25" xfId="0" applyFill="1" applyBorder="1" applyProtection="1">
      <protection hidden="1"/>
    </xf>
    <xf numFmtId="0" fontId="31" fillId="2" borderId="0" xfId="0" applyFont="1" applyFill="1" applyProtection="1">
      <protection hidden="1"/>
    </xf>
    <xf numFmtId="0" fontId="31" fillId="2" borderId="30" xfId="0" applyFont="1" applyFill="1" applyBorder="1" applyProtection="1">
      <protection hidden="1"/>
    </xf>
    <xf numFmtId="11" fontId="15" fillId="12" borderId="0" xfId="0" applyNumberFormat="1" applyFont="1" applyFill="1" applyAlignment="1" applyProtection="1">
      <alignment horizontal="center" vertical="center"/>
      <protection locked="0"/>
    </xf>
    <xf numFmtId="0" fontId="0" fillId="3" borderId="5" xfId="0" applyFill="1" applyBorder="1" applyAlignment="1">
      <alignment horizontal="left"/>
    </xf>
    <xf numFmtId="1" fontId="0" fillId="2" borderId="0" xfId="0" applyNumberFormat="1" applyFill="1" applyProtection="1">
      <protection locked="0"/>
    </xf>
    <xf numFmtId="0" fontId="35" fillId="3" borderId="12" xfId="0" applyFont="1" applyFill="1" applyBorder="1" applyAlignment="1" applyProtection="1">
      <alignment vertical="center"/>
      <protection hidden="1"/>
    </xf>
    <xf numFmtId="0" fontId="35" fillId="3" borderId="13" xfId="0" applyFont="1" applyFill="1" applyBorder="1" applyAlignment="1" applyProtection="1">
      <alignment vertical="center"/>
      <protection hidden="1"/>
    </xf>
    <xf numFmtId="0" fontId="34" fillId="2" borderId="0" xfId="0" applyFont="1" applyFill="1" applyAlignment="1" applyProtection="1">
      <alignment horizontal="center" vertical="center"/>
      <protection hidden="1"/>
    </xf>
    <xf numFmtId="0" fontId="36" fillId="2" borderId="59" xfId="0" applyFont="1" applyFill="1" applyBorder="1" applyAlignment="1" applyProtection="1">
      <alignment horizontal="center"/>
      <protection hidden="1"/>
    </xf>
    <xf numFmtId="0" fontId="36" fillId="2" borderId="0" xfId="0" applyFont="1" applyFill="1" applyAlignment="1" applyProtection="1">
      <alignment horizontal="center"/>
      <protection hidden="1"/>
    </xf>
    <xf numFmtId="0" fontId="37" fillId="2" borderId="0" xfId="0" applyFont="1" applyFill="1" applyAlignment="1" applyProtection="1">
      <alignment horizontal="center" vertical="center"/>
      <protection hidden="1"/>
    </xf>
    <xf numFmtId="0" fontId="34" fillId="3" borderId="56" xfId="0" applyFont="1" applyFill="1" applyBorder="1" applyAlignment="1" applyProtection="1">
      <alignment horizontal="center" vertical="top"/>
      <protection hidden="1"/>
    </xf>
    <xf numFmtId="0" fontId="34" fillId="3" borderId="57" xfId="0" applyFont="1" applyFill="1" applyBorder="1" applyAlignment="1" applyProtection="1">
      <alignment horizontal="center" vertical="top"/>
      <protection hidden="1"/>
    </xf>
    <xf numFmtId="0" fontId="34" fillId="3" borderId="58" xfId="0" applyFont="1" applyFill="1" applyBorder="1" applyAlignment="1" applyProtection="1">
      <alignment horizontal="center" vertical="top"/>
      <protection hidden="1"/>
    </xf>
    <xf numFmtId="0" fontId="0" fillId="11" borderId="18" xfId="0" applyFill="1" applyBorder="1" applyAlignment="1" applyProtection="1">
      <alignment horizontal="left"/>
      <protection hidden="1"/>
    </xf>
    <xf numFmtId="0" fontId="0" fillId="11" borderId="19" xfId="0" applyFill="1" applyBorder="1" applyAlignment="1" applyProtection="1">
      <alignment horizontal="left"/>
      <protection hidden="1"/>
    </xf>
    <xf numFmtId="0" fontId="0" fillId="11" borderId="36" xfId="0" applyFill="1" applyBorder="1" applyAlignment="1" applyProtection="1">
      <alignment horizontal="left"/>
      <protection hidden="1"/>
    </xf>
    <xf numFmtId="0" fontId="0" fillId="11" borderId="1" xfId="0" applyFill="1" applyBorder="1" applyAlignment="1" applyProtection="1">
      <alignment horizontal="left"/>
      <protection hidden="1"/>
    </xf>
    <xf numFmtId="0" fontId="0" fillId="11" borderId="37" xfId="0" applyFill="1" applyBorder="1" applyAlignment="1" applyProtection="1">
      <alignment horizontal="left"/>
      <protection hidden="1"/>
    </xf>
    <xf numFmtId="0" fontId="30" fillId="11" borderId="38" xfId="0" applyFont="1" applyFill="1" applyBorder="1" applyAlignment="1" applyProtection="1">
      <alignment horizontal="center"/>
      <protection hidden="1"/>
    </xf>
    <xf numFmtId="0" fontId="30" fillId="11" borderId="39" xfId="0" applyFont="1" applyFill="1" applyBorder="1" applyAlignment="1" applyProtection="1">
      <alignment horizontal="center"/>
      <protection hidden="1"/>
    </xf>
    <xf numFmtId="0" fontId="0" fillId="4" borderId="42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horizontal="center"/>
      <protection locked="0"/>
    </xf>
    <xf numFmtId="0" fontId="21" fillId="11" borderId="26" xfId="0" applyFont="1" applyFill="1" applyBorder="1" applyAlignment="1" applyProtection="1">
      <alignment horizontal="center"/>
      <protection hidden="1"/>
    </xf>
    <xf numFmtId="0" fontId="21" fillId="11" borderId="30" xfId="0" applyFont="1" applyFill="1" applyBorder="1" applyAlignment="1" applyProtection="1">
      <alignment horizontal="center"/>
      <protection hidden="1"/>
    </xf>
    <xf numFmtId="0" fontId="21" fillId="11" borderId="52" xfId="0" applyFont="1" applyFill="1" applyBorder="1" applyAlignment="1" applyProtection="1">
      <alignment horizontal="center"/>
      <protection hidden="1"/>
    </xf>
    <xf numFmtId="0" fontId="0" fillId="4" borderId="51" xfId="0" applyFill="1" applyBorder="1" applyAlignment="1" applyProtection="1">
      <alignment horizontal="center" vertical="center"/>
      <protection locked="0"/>
    </xf>
    <xf numFmtId="0" fontId="0" fillId="4" borderId="25" xfId="0" applyFill="1" applyBorder="1" applyAlignment="1" applyProtection="1">
      <alignment horizontal="center" vertical="center"/>
      <protection locked="0"/>
    </xf>
    <xf numFmtId="0" fontId="0" fillId="4" borderId="53" xfId="0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23" xfId="0" applyFill="1" applyBorder="1" applyAlignment="1" applyProtection="1">
      <alignment horizontal="center" vertical="center" wrapText="1"/>
      <protection hidden="1"/>
    </xf>
    <xf numFmtId="0" fontId="0" fillId="4" borderId="27" xfId="0" applyFill="1" applyBorder="1" applyAlignment="1" applyProtection="1">
      <alignment horizontal="center" vertical="center" wrapText="1"/>
      <protection hidden="1"/>
    </xf>
    <xf numFmtId="0" fontId="0" fillId="4" borderId="24" xfId="0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0" fillId="4" borderId="26" xfId="0" applyFill="1" applyBorder="1" applyAlignment="1" applyProtection="1">
      <alignment horizontal="center" vertical="center" wrapText="1"/>
      <protection hidden="1"/>
    </xf>
    <xf numFmtId="0" fontId="0" fillId="4" borderId="28" xfId="0" applyFill="1" applyBorder="1" applyAlignment="1" applyProtection="1">
      <alignment horizontal="center" vertical="center" wrapText="1"/>
      <protection hidden="1"/>
    </xf>
    <xf numFmtId="0" fontId="21" fillId="11" borderId="24" xfId="0" applyFont="1" applyFill="1" applyBorder="1" applyAlignment="1" applyProtection="1">
      <alignment horizontal="center"/>
      <protection hidden="1"/>
    </xf>
    <xf numFmtId="0" fontId="21" fillId="11" borderId="0" xfId="0" applyFont="1" applyFill="1" applyAlignment="1" applyProtection="1">
      <alignment horizontal="center"/>
      <protection hidden="1"/>
    </xf>
    <xf numFmtId="0" fontId="21" fillId="11" borderId="54" xfId="0" applyFont="1" applyFill="1" applyBorder="1" applyAlignment="1" applyProtection="1">
      <alignment horizontal="center"/>
      <protection hidden="1"/>
    </xf>
    <xf numFmtId="0" fontId="6" fillId="11" borderId="18" xfId="0" applyFont="1" applyFill="1" applyBorder="1" applyAlignment="1" applyProtection="1">
      <alignment horizontal="center"/>
      <protection hidden="1"/>
    </xf>
    <xf numFmtId="0" fontId="6" fillId="11" borderId="19" xfId="0" applyFont="1" applyFill="1" applyBorder="1" applyAlignment="1" applyProtection="1">
      <alignment horizontal="center"/>
      <protection hidden="1"/>
    </xf>
    <xf numFmtId="0" fontId="6" fillId="11" borderId="36" xfId="0" applyFont="1" applyFill="1" applyBorder="1" applyAlignment="1" applyProtection="1">
      <alignment horizontal="center"/>
      <protection hidden="1"/>
    </xf>
    <xf numFmtId="0" fontId="0" fillId="2" borderId="24" xfId="0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26" xfId="0" applyFill="1" applyBorder="1" applyAlignment="1" applyProtection="1">
      <alignment horizontal="center"/>
      <protection hidden="1"/>
    </xf>
    <xf numFmtId="0" fontId="0" fillId="2" borderId="30" xfId="0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2" fillId="11" borderId="38" xfId="0" applyFont="1" applyFill="1" applyBorder="1" applyAlignment="1" applyProtection="1">
      <alignment horizontal="center"/>
      <protection hidden="1"/>
    </xf>
    <xf numFmtId="0" fontId="2" fillId="11" borderId="39" xfId="0" applyFont="1" applyFill="1" applyBorder="1" applyAlignment="1" applyProtection="1">
      <alignment horizontal="center"/>
      <protection hidden="1"/>
    </xf>
    <xf numFmtId="1" fontId="8" fillId="4" borderId="40" xfId="0" applyNumberFormat="1" applyFont="1" applyFill="1" applyBorder="1" applyAlignment="1" applyProtection="1">
      <alignment horizontal="center"/>
      <protection locked="0"/>
    </xf>
    <xf numFmtId="1" fontId="8" fillId="4" borderId="4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left"/>
      <protection hidden="1"/>
    </xf>
    <xf numFmtId="0" fontId="35" fillId="3" borderId="12" xfId="0" applyFont="1" applyFill="1" applyBorder="1" applyAlignment="1" applyProtection="1">
      <alignment horizontal="left" vertical="center"/>
      <protection hidden="1"/>
    </xf>
    <xf numFmtId="0" fontId="35" fillId="3" borderId="13" xfId="0" applyFont="1" applyFill="1" applyBorder="1" applyAlignment="1" applyProtection="1">
      <alignment horizontal="left" vertical="center"/>
      <protection hidden="1"/>
    </xf>
    <xf numFmtId="0" fontId="1" fillId="3" borderId="55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2" fontId="9" fillId="3" borderId="55" xfId="0" applyNumberFormat="1" applyFont="1" applyFill="1" applyBorder="1" applyAlignment="1">
      <alignment horizontal="left"/>
    </xf>
    <xf numFmtId="2" fontId="9" fillId="3" borderId="47" xfId="0" applyNumberFormat="1" applyFont="1" applyFill="1" applyBorder="1" applyAlignment="1">
      <alignment horizontal="left"/>
    </xf>
    <xf numFmtId="0" fontId="16" fillId="2" borderId="18" xfId="0" applyFont="1" applyFill="1" applyBorder="1" applyAlignment="1" applyProtection="1">
      <alignment horizontal="center" vertical="center"/>
      <protection locked="0"/>
    </xf>
    <xf numFmtId="0" fontId="16" fillId="2" borderId="19" xfId="0" applyFont="1" applyFill="1" applyBorder="1" applyAlignment="1" applyProtection="1">
      <alignment horizontal="center" vertical="center"/>
      <protection locked="0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" fillId="12" borderId="18" xfId="0" applyFont="1" applyFill="1" applyBorder="1" applyAlignment="1" applyProtection="1">
      <alignment horizontal="center" vertical="center"/>
      <protection locked="0"/>
    </xf>
    <xf numFmtId="0" fontId="1" fillId="12" borderId="29" xfId="0" applyFont="1" applyFill="1" applyBorder="1" applyAlignment="1" applyProtection="1">
      <alignment horizontal="center" vertical="center"/>
      <protection locked="0"/>
    </xf>
    <xf numFmtId="0" fontId="1" fillId="12" borderId="19" xfId="0" applyFont="1" applyFill="1" applyBorder="1" applyAlignment="1" applyProtection="1">
      <alignment horizontal="center" vertical="center"/>
      <protection locked="0"/>
    </xf>
    <xf numFmtId="0" fontId="1" fillId="12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" fillId="7" borderId="32" xfId="0" applyFont="1" applyFill="1" applyBorder="1" applyAlignment="1">
      <alignment horizontal="center"/>
    </xf>
    <xf numFmtId="0" fontId="1" fillId="7" borderId="45" xfId="0" applyFont="1" applyFill="1" applyBorder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2" fontId="8" fillId="4" borderId="34" xfId="0" applyNumberFormat="1" applyFont="1" applyFill="1" applyBorder="1" applyAlignment="1">
      <alignment horizontal="center"/>
    </xf>
    <xf numFmtId="2" fontId="8" fillId="4" borderId="46" xfId="0" applyNumberFormat="1" applyFont="1" applyFill="1" applyBorder="1" applyAlignment="1">
      <alignment horizontal="center"/>
    </xf>
    <xf numFmtId="0" fontId="16" fillId="2" borderId="23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27" xfId="0" applyFont="1" applyFill="1" applyBorder="1" applyAlignment="1" applyProtection="1">
      <alignment horizontal="center" vertical="center"/>
      <protection locked="0"/>
    </xf>
    <xf numFmtId="0" fontId="16" fillId="12" borderId="23" xfId="0" applyFont="1" applyFill="1" applyBorder="1" applyAlignment="1" applyProtection="1">
      <alignment horizontal="center" vertical="center"/>
      <protection locked="0"/>
    </xf>
    <xf numFmtId="0" fontId="16" fillId="12" borderId="29" xfId="0" applyFont="1" applyFill="1" applyBorder="1" applyAlignment="1" applyProtection="1">
      <alignment horizontal="center" vertical="center"/>
      <protection locked="0"/>
    </xf>
    <xf numFmtId="0" fontId="16" fillId="12" borderId="27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/>
      <protection hidden="1"/>
    </xf>
    <xf numFmtId="0" fontId="1" fillId="7" borderId="33" xfId="0" applyFont="1" applyFill="1" applyBorder="1" applyAlignment="1" applyProtection="1">
      <alignment horizontal="center"/>
      <protection hidden="1"/>
    </xf>
    <xf numFmtId="1" fontId="8" fillId="4" borderId="34" xfId="0" applyNumberFormat="1" applyFont="1" applyFill="1" applyBorder="1" applyAlignment="1" applyProtection="1">
      <alignment horizontal="center"/>
      <protection hidden="1"/>
    </xf>
    <xf numFmtId="1" fontId="8" fillId="4" borderId="35" xfId="0" applyNumberFormat="1" applyFont="1" applyFill="1" applyBorder="1" applyAlignment="1" applyProtection="1">
      <alignment horizontal="center"/>
      <protection hidden="1"/>
    </xf>
    <xf numFmtId="0" fontId="10" fillId="5" borderId="38" xfId="0" applyFont="1" applyFill="1" applyBorder="1" applyAlignment="1" applyProtection="1">
      <alignment horizontal="center"/>
      <protection hidden="1"/>
    </xf>
    <xf numFmtId="0" fontId="10" fillId="5" borderId="39" xfId="0" applyFont="1" applyFill="1" applyBorder="1" applyAlignment="1" applyProtection="1">
      <alignment horizontal="center"/>
      <protection hidden="1"/>
    </xf>
    <xf numFmtId="0" fontId="10" fillId="4" borderId="18" xfId="0" applyFont="1" applyFill="1" applyBorder="1" applyAlignment="1" applyProtection="1">
      <alignment horizontal="center"/>
      <protection hidden="1"/>
    </xf>
    <xf numFmtId="0" fontId="10" fillId="4" borderId="19" xfId="0" applyFont="1" applyFill="1" applyBorder="1" applyAlignment="1" applyProtection="1">
      <alignment horizontal="center"/>
      <protection hidden="1"/>
    </xf>
    <xf numFmtId="0" fontId="10" fillId="4" borderId="10" xfId="0" applyFont="1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2" fontId="22" fillId="2" borderId="0" xfId="0" applyNumberFormat="1" applyFont="1" applyFill="1" applyAlignment="1" applyProtection="1">
      <alignment horizontal="center" vertical="center"/>
      <protection hidden="1"/>
    </xf>
  </cellXfs>
  <cellStyles count="24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Procent" xfId="23" builtinId="5"/>
    <cellStyle name="Standaard" xfId="0" builtinId="0"/>
  </cellStyles>
  <dxfs count="0"/>
  <tableStyles count="0" defaultTableStyle="TableStyleMedium2" defaultPivotStyle="PivotStyleLight16"/>
  <colors>
    <mruColors>
      <color rgb="FF305496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10</xdr:row>
          <xdr:rowOff>38100</xdr:rowOff>
        </xdr:from>
        <xdr:to>
          <xdr:col>13</xdr:col>
          <xdr:colOff>447673</xdr:colOff>
          <xdr:row>13</xdr:row>
          <xdr:rowOff>47625</xdr:rowOff>
        </xdr:to>
        <xdr:grpSp>
          <xdr:nvGrpSpPr>
            <xdr:cNvPr id="7" name="Groep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5467350" y="2066925"/>
              <a:ext cx="828673" cy="590550"/>
              <a:chOff x="9363057" y="609628"/>
              <a:chExt cx="1113915" cy="476250"/>
            </a:xfrm>
          </xdr:grpSpPr>
          <xdr:sp macro="" textlink="">
            <xdr:nvSpPr>
              <xdr:cNvPr id="6149" name="rbtnSI" hidden="1">
                <a:extLst>
                  <a:ext uri="{63B3BB69-23CF-44E3-9099-C40C66FF867C}">
                    <a14:compatExt spid="_x0000_s6149"/>
                  </a:ext>
                  <a:ext uri="{FF2B5EF4-FFF2-40B4-BE49-F238E27FC236}">
                    <a16:creationId xmlns:a16="http://schemas.microsoft.com/office/drawing/2014/main" id="{00000000-0008-0000-0000-000005180000}"/>
                  </a:ext>
                </a:extLst>
              </xdr:cNvPr>
              <xdr:cNvSpPr/>
            </xdr:nvSpPr>
            <xdr:spPr bwMode="auto">
              <a:xfrm>
                <a:off x="9363057" y="609628"/>
                <a:ext cx="907185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50" name="rbtnImperial" hidden="1">
                <a:extLst>
                  <a:ext uri="{63B3BB69-23CF-44E3-9099-C40C66FF867C}">
                    <a14:compatExt spid="_x0000_s6150"/>
                  </a:ext>
                  <a:ext uri="{FF2B5EF4-FFF2-40B4-BE49-F238E27FC236}">
                    <a16:creationId xmlns:a16="http://schemas.microsoft.com/office/drawing/2014/main" id="{00000000-0008-0000-0000-000006180000}"/>
                  </a:ext>
                </a:extLst>
              </xdr:cNvPr>
              <xdr:cNvSpPr/>
            </xdr:nvSpPr>
            <xdr:spPr bwMode="auto">
              <a:xfrm>
                <a:off x="9363083" y="828703"/>
                <a:ext cx="11138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3</xdr:row>
          <xdr:rowOff>9525</xdr:rowOff>
        </xdr:from>
        <xdr:to>
          <xdr:col>5</xdr:col>
          <xdr:colOff>247650</xdr:colOff>
          <xdr:row>5</xdr:row>
          <xdr:rowOff>9525</xdr:rowOff>
        </xdr:to>
        <xdr:sp macro="" textlink="">
          <xdr:nvSpPr>
            <xdr:cNvPr id="6153" name="btnCopy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48457</xdr:colOff>
      <xdr:row>1</xdr:row>
      <xdr:rowOff>0</xdr:rowOff>
    </xdr:from>
    <xdr:to>
      <xdr:col>16</xdr:col>
      <xdr:colOff>38100</xdr:colOff>
      <xdr:row>2</xdr:row>
      <xdr:rowOff>181264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77707" y="190500"/>
          <a:ext cx="894518" cy="562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1"/>
  <dimension ref="A1:U81"/>
  <sheetViews>
    <sheetView tabSelected="1" zoomScaleNormal="100" workbookViewId="0">
      <pane ySplit="16" topLeftCell="A17" activePane="bottomLeft" state="frozen"/>
      <selection pane="bottomLeft" activeCell="K6" sqref="K6:N6"/>
    </sheetView>
  </sheetViews>
  <sheetFormatPr defaultColWidth="0" defaultRowHeight="0" customHeight="1" zeroHeight="1" x14ac:dyDescent="0.25"/>
  <cols>
    <col min="1" max="1" width="2" style="92" customWidth="1"/>
    <col min="2" max="2" width="5.7109375" style="92" customWidth="1"/>
    <col min="3" max="3" width="4.140625" style="92" customWidth="1"/>
    <col min="4" max="4" width="7.28515625" style="92" customWidth="1"/>
    <col min="5" max="5" width="7.140625" style="92" customWidth="1"/>
    <col min="6" max="6" width="7.5703125" style="92" customWidth="1"/>
    <col min="7" max="7" width="9.42578125" style="92" customWidth="1"/>
    <col min="8" max="8" width="7.85546875" style="92" customWidth="1"/>
    <col min="9" max="9" width="7.28515625" style="92" customWidth="1"/>
    <col min="10" max="10" width="7" style="92" customWidth="1"/>
    <col min="11" max="11" width="7.85546875" style="92" customWidth="1"/>
    <col min="12" max="12" width="8.140625" style="92" customWidth="1"/>
    <col min="13" max="13" width="6.28515625" style="92" customWidth="1"/>
    <col min="14" max="14" width="7" style="92" customWidth="1"/>
    <col min="15" max="16" width="0.140625" style="92" customWidth="1"/>
    <col min="17" max="17" width="2" style="92" customWidth="1"/>
    <col min="18" max="18" width="2" style="92" hidden="1" customWidth="1"/>
    <col min="19" max="19" width="3.42578125" style="92" hidden="1" customWidth="1"/>
    <col min="20" max="16384" width="0.140625" style="92" hidden="1"/>
  </cols>
  <sheetData>
    <row r="1" spans="2:19" ht="15" customHeight="1" x14ac:dyDescent="0.25">
      <c r="M1" s="266"/>
      <c r="N1" s="266"/>
      <c r="O1" s="266"/>
      <c r="P1" s="266"/>
      <c r="Q1" s="266"/>
    </row>
    <row r="2" spans="2:19" ht="30" customHeight="1" x14ac:dyDescent="0.25">
      <c r="B2" s="270" t="s">
        <v>151</v>
      </c>
      <c r="C2" s="271"/>
      <c r="D2" s="271"/>
      <c r="E2" s="271"/>
      <c r="F2" s="271"/>
      <c r="G2" s="271"/>
      <c r="H2" s="271"/>
      <c r="I2" s="271"/>
      <c r="J2" s="271"/>
      <c r="K2" s="271"/>
      <c r="L2" s="272"/>
      <c r="M2" s="267"/>
      <c r="N2" s="268"/>
      <c r="O2" s="268"/>
      <c r="P2" s="268"/>
      <c r="Q2" s="268"/>
    </row>
    <row r="3" spans="2:19" ht="15" customHeight="1" x14ac:dyDescent="0.3">
      <c r="B3" s="259"/>
      <c r="C3" s="259"/>
      <c r="D3" s="259"/>
      <c r="E3" s="259"/>
      <c r="F3" s="259"/>
      <c r="G3" s="260"/>
      <c r="H3" s="260"/>
      <c r="I3" s="260"/>
      <c r="J3" s="260"/>
      <c r="K3" s="260"/>
      <c r="L3" s="260"/>
      <c r="M3" s="269"/>
      <c r="N3" s="269"/>
      <c r="O3" s="269"/>
      <c r="P3" s="269"/>
      <c r="Q3" s="269"/>
    </row>
    <row r="4" spans="2:19" ht="15" x14ac:dyDescent="0.25">
      <c r="F4" s="258"/>
      <c r="G4" s="296" t="s">
        <v>164</v>
      </c>
      <c r="H4" s="297">
        <v>0</v>
      </c>
      <c r="I4" s="297">
        <v>0</v>
      </c>
      <c r="J4" s="298">
        <v>0</v>
      </c>
      <c r="K4" s="286" t="s">
        <v>84</v>
      </c>
      <c r="L4" s="287"/>
      <c r="M4" s="302"/>
      <c r="N4" s="303"/>
      <c r="O4" s="170"/>
      <c r="P4" s="170"/>
    </row>
    <row r="5" spans="2:19" ht="15" x14ac:dyDescent="0.25">
      <c r="B5" s="312"/>
      <c r="C5" s="312"/>
      <c r="D5" s="312"/>
      <c r="G5" s="283" t="s">
        <v>234</v>
      </c>
      <c r="H5" s="284"/>
      <c r="I5" s="284"/>
      <c r="J5" s="285"/>
      <c r="K5" s="288"/>
      <c r="L5" s="289"/>
      <c r="M5" s="304"/>
      <c r="N5" s="305"/>
      <c r="O5" s="170"/>
      <c r="P5" s="170"/>
    </row>
    <row r="6" spans="2:19" ht="15" x14ac:dyDescent="0.25">
      <c r="B6" s="93"/>
      <c r="G6" s="299" t="str">
        <f>IF(cal!$S$7=1,"Uitvoering",IF(cal!$S$7=2,"Version",IF(cal!$S$7=3,"Ausfürhung",IF(cal!$S$7=4,"Version",IF(cal!$S$7=5,"Modell",IF(cal!$S$7=6,"Version",IF(cal!$S$7=7,"Modell",IF(cal!$S$7=8,"Verze",IF(cal!$S$7=9,"Version",IF(cal!$S$7=10,"Version",IF(cal!$S$7=11,"Version",)))))))))))</f>
        <v>Version</v>
      </c>
      <c r="H6" s="300"/>
      <c r="I6" s="300"/>
      <c r="J6" s="301"/>
      <c r="K6" s="280" t="s">
        <v>74</v>
      </c>
      <c r="L6" s="281"/>
      <c r="M6" s="281"/>
      <c r="N6" s="282"/>
    </row>
    <row r="7" spans="2:19" ht="6" customHeight="1" x14ac:dyDescent="0.25">
      <c r="B7" s="94"/>
      <c r="C7" s="95"/>
      <c r="D7" s="95"/>
      <c r="E7" s="95"/>
      <c r="F7" s="95"/>
      <c r="G7" s="95"/>
      <c r="H7" s="95"/>
      <c r="I7" s="95"/>
      <c r="J7" s="95"/>
      <c r="K7" s="97"/>
      <c r="L7" s="97"/>
      <c r="M7" s="97"/>
      <c r="N7" s="97"/>
      <c r="O7" s="95"/>
      <c r="P7" s="96"/>
    </row>
    <row r="8" spans="2:19" ht="16.5" thickBot="1" x14ac:dyDescent="0.3">
      <c r="B8" s="147" t="str">
        <f>cal!B7</f>
        <v>Temperatures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308" t="str">
        <f>cal!M7</f>
        <v>Altitude</v>
      </c>
      <c r="N8" s="309"/>
      <c r="O8" s="223"/>
      <c r="P8" s="226"/>
    </row>
    <row r="9" spans="2:19" ht="16.5" thickTop="1" x14ac:dyDescent="0.25">
      <c r="B9" s="147" t="str">
        <f>cal!B8</f>
        <v>Heating:</v>
      </c>
      <c r="C9" s="97"/>
      <c r="D9" s="97"/>
      <c r="E9" s="97"/>
      <c r="F9" s="97"/>
      <c r="G9" s="148" t="str">
        <f>cal!G8</f>
        <v>Cooling:</v>
      </c>
      <c r="H9" s="98"/>
      <c r="I9" s="98"/>
      <c r="J9" s="97"/>
      <c r="K9" s="97"/>
      <c r="L9" s="97"/>
      <c r="M9" s="310">
        <v>0</v>
      </c>
      <c r="N9" s="311">
        <v>0</v>
      </c>
      <c r="O9" s="232" t="str">
        <f>cal!O8</f>
        <v>m</v>
      </c>
      <c r="P9" s="227"/>
      <c r="Q9" s="221"/>
    </row>
    <row r="10" spans="2:19" ht="15.75" thickBot="1" x14ac:dyDescent="0.3">
      <c r="B10" s="273" t="str">
        <f>cal!B9</f>
        <v>Inlet temp.</v>
      </c>
      <c r="C10" s="274">
        <f>cal!C9</f>
        <v>0</v>
      </c>
      <c r="D10" s="275">
        <f>cal!D9</f>
        <v>0</v>
      </c>
      <c r="E10" s="149">
        <v>75</v>
      </c>
      <c r="F10" s="99"/>
      <c r="G10" s="276" t="str">
        <f>cal!G9</f>
        <v>Inlet temp.</v>
      </c>
      <c r="H10" s="276">
        <f>cal!H9</f>
        <v>0</v>
      </c>
      <c r="I10" s="276">
        <f>cal!I9</f>
        <v>0</v>
      </c>
      <c r="J10" s="277">
        <f>cal!J9</f>
        <v>0</v>
      </c>
      <c r="K10" s="149">
        <v>16</v>
      </c>
      <c r="L10" s="97"/>
      <c r="M10" s="278" t="str">
        <f>cal!M9</f>
        <v>Unit conversion</v>
      </c>
      <c r="N10" s="279"/>
      <c r="O10" s="224"/>
      <c r="P10" s="228"/>
    </row>
    <row r="11" spans="2:19" ht="15.75" thickTop="1" x14ac:dyDescent="0.25">
      <c r="B11" s="273" t="str">
        <f>cal!B10</f>
        <v>Return temp.</v>
      </c>
      <c r="C11" s="274">
        <f>cal!C10</f>
        <v>0</v>
      </c>
      <c r="D11" s="275">
        <f>cal!D10</f>
        <v>0</v>
      </c>
      <c r="E11" s="149">
        <v>65</v>
      </c>
      <c r="F11" s="99"/>
      <c r="G11" s="276" t="str">
        <f>cal!G10</f>
        <v>Return temp.</v>
      </c>
      <c r="H11" s="276">
        <f>cal!H10</f>
        <v>0</v>
      </c>
      <c r="I11" s="276">
        <f>cal!I10</f>
        <v>0</v>
      </c>
      <c r="J11" s="277">
        <f>cal!J10</f>
        <v>0</v>
      </c>
      <c r="K11" s="149">
        <v>18</v>
      </c>
      <c r="L11" s="97"/>
      <c r="M11" s="290"/>
      <c r="N11" s="291"/>
      <c r="O11" s="225"/>
      <c r="P11" s="229"/>
    </row>
    <row r="12" spans="2:19" ht="15" x14ac:dyDescent="0.25">
      <c r="B12" s="273" t="str">
        <f>cal!B11</f>
        <v>Room temp.</v>
      </c>
      <c r="C12" s="274">
        <f>cal!C11</f>
        <v>0</v>
      </c>
      <c r="D12" s="275">
        <f>cal!D11</f>
        <v>0</v>
      </c>
      <c r="E12" s="149">
        <v>20</v>
      </c>
      <c r="F12" s="99"/>
      <c r="G12" s="276" t="str">
        <f>cal!G11</f>
        <v>Room temp.</v>
      </c>
      <c r="H12" s="276">
        <f>cal!H11</f>
        <v>0</v>
      </c>
      <c r="I12" s="276">
        <f>cal!I11</f>
        <v>0</v>
      </c>
      <c r="J12" s="277">
        <f>cal!J11</f>
        <v>0</v>
      </c>
      <c r="K12" s="149">
        <v>26.999999999999996</v>
      </c>
      <c r="L12" s="97"/>
      <c r="M12" s="292"/>
      <c r="N12" s="293"/>
      <c r="O12" s="225"/>
      <c r="P12" s="229"/>
    </row>
    <row r="13" spans="2:19" ht="15" x14ac:dyDescent="0.25">
      <c r="B13" s="100"/>
      <c r="C13" s="97"/>
      <c r="D13" s="97"/>
      <c r="E13" s="97"/>
      <c r="F13" s="97"/>
      <c r="G13" s="273" t="str">
        <f>cal!G12</f>
        <v>Relative humidity</v>
      </c>
      <c r="H13" s="274"/>
      <c r="I13" s="274"/>
      <c r="J13" s="275"/>
      <c r="K13" s="150">
        <v>0.5</v>
      </c>
      <c r="L13" s="97"/>
      <c r="M13" s="292"/>
      <c r="N13" s="293"/>
      <c r="O13" s="225"/>
      <c r="P13" s="229"/>
    </row>
    <row r="14" spans="2:19" ht="6" customHeight="1" x14ac:dyDescent="0.25">
      <c r="B14" s="101"/>
      <c r="C14" s="102"/>
      <c r="D14" s="102"/>
      <c r="E14" s="102"/>
      <c r="F14" s="103"/>
      <c r="G14" s="103"/>
      <c r="H14" s="103"/>
      <c r="I14" s="103"/>
      <c r="J14" s="103"/>
      <c r="K14" s="103"/>
      <c r="L14" s="103"/>
      <c r="M14" s="294"/>
      <c r="N14" s="295"/>
      <c r="O14" s="231"/>
      <c r="P14" s="230"/>
    </row>
    <row r="15" spans="2:19" ht="15" x14ac:dyDescent="0.25">
      <c r="B15" s="104"/>
      <c r="C15" s="104"/>
      <c r="D15" s="105">
        <f>cal!D14</f>
        <v>0</v>
      </c>
      <c r="E15" s="105">
        <f>cal!E14</f>
        <v>1</v>
      </c>
      <c r="F15" s="105">
        <f>cal!F14</f>
        <v>1</v>
      </c>
      <c r="G15" s="105">
        <v>3.4121416331000001</v>
      </c>
      <c r="H15" s="105">
        <f>cal!H14</f>
        <v>1</v>
      </c>
      <c r="I15" s="105">
        <f>cal!I14</f>
        <v>1</v>
      </c>
      <c r="J15" s="105">
        <f>cal!J14</f>
        <v>1</v>
      </c>
      <c r="K15" s="106">
        <f>cal!K14</f>
        <v>0</v>
      </c>
      <c r="L15" s="106">
        <f>cal!L14</f>
        <v>0</v>
      </c>
      <c r="M15" s="106">
        <f>cal!M14</f>
        <v>0</v>
      </c>
      <c r="N15" s="105">
        <f>cal!N14</f>
        <v>1</v>
      </c>
      <c r="O15" s="222"/>
      <c r="P15" s="222"/>
    </row>
    <row r="16" spans="2:19" s="107" customFormat="1" ht="103.7" customHeight="1" x14ac:dyDescent="0.25">
      <c r="B16" s="233" t="str">
        <f>cal!B15</f>
        <v>Speed level:</v>
      </c>
      <c r="C16" s="234" t="str">
        <f>cal!C15</f>
        <v>Control voltage [V]</v>
      </c>
      <c r="D16" s="235" t="str">
        <f>cal!D15</f>
        <v>Heat output * 75/65/20 [W]</v>
      </c>
      <c r="E16" s="236" t="str">
        <f>cal!E15</f>
        <v>Water flowrate, heating [l/h]</v>
      </c>
      <c r="F16" s="237" t="str">
        <f>cal!F15</f>
        <v>Watersided pressure loss [kPa]</v>
      </c>
      <c r="G16" s="250" t="str">
        <f>cal!G15</f>
        <v>Sens. cooling capacity * 16/18/27 [W]</v>
      </c>
      <c r="H16" s="249" t="str">
        <f>cal!H15</f>
        <v>Tot. cooling capacity 16/18/27 [W]</v>
      </c>
      <c r="I16" s="236" t="str">
        <f>cal!I15</f>
        <v>Water flowrate, cooling [l/h]</v>
      </c>
      <c r="J16" s="237" t="str">
        <f>cal!J15</f>
        <v>Watersided pressure loss [kPa]</v>
      </c>
      <c r="K16" s="238" t="str">
        <f>cal!K15</f>
        <v>Sound pressure *** [dB(A)]</v>
      </c>
      <c r="L16" s="239" t="str">
        <f>cal!L15</f>
        <v>Sound power ** [dB(A)]</v>
      </c>
      <c r="M16" s="244" t="str">
        <f>cal!M15</f>
        <v>Electrical power [W]</v>
      </c>
      <c r="N16" s="245" t="str">
        <f>cal!N15</f>
        <v>Air flowrate [m³/h]</v>
      </c>
      <c r="O16" s="240" t="str">
        <f>cal!O15</f>
        <v>Air exhaust temp. heating [°C]</v>
      </c>
      <c r="P16" s="248" t="str">
        <f>cal!P15</f>
        <v>Air exhaust temp. cooling [°C]</v>
      </c>
      <c r="S16" s="108"/>
    </row>
    <row r="17" spans="2:21" ht="15" customHeight="1" x14ac:dyDescent="0.25">
      <c r="B17" s="306" t="str">
        <f>cal!B16</f>
        <v>Clima Canal height 13 cm width 32 cm length 70 cm (Type 1)</v>
      </c>
      <c r="C17" s="307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4"/>
      <c r="Q17" s="159"/>
      <c r="R17" s="159"/>
      <c r="S17" s="160"/>
      <c r="T17" s="159"/>
      <c r="U17" s="159"/>
    </row>
    <row r="18" spans="2:21" ht="15" customHeight="1" x14ac:dyDescent="0.25">
      <c r="B18" s="110">
        <f>cal!B17</f>
        <v>0.2</v>
      </c>
      <c r="C18" s="111">
        <f>cal!C17</f>
        <v>2</v>
      </c>
      <c r="D18" s="161">
        <f>IF($E$10&lt;=$E$11,cal!$AC$3,cal!D17)</f>
        <v>312.78086398696399</v>
      </c>
      <c r="E18" s="162">
        <f>IF($E$10&lt;=$E$11,"",cal!E17)</f>
        <v>27</v>
      </c>
      <c r="F18" s="163">
        <f>IF($E$10&lt;=$E$11,"",cal!F17)</f>
        <v>1.1330472972336471E-2</v>
      </c>
      <c r="G18" s="164">
        <f>IF($K$10&gt;=$K$11,cal!$AC$3,IF(cal!$X$16=1,IF(cal!$CZ17=0,"",cal!G17),cal!G17))</f>
        <v>67.306371917380019</v>
      </c>
      <c r="H18" s="164">
        <f>IF($K$10&gt;=$K$11,cal!$AC$3,IF(cal!$X$16=1,IF(cal!$CZ17=0,"",cal!H17),cal!H17))</f>
        <v>67.306371917380019</v>
      </c>
      <c r="I18" s="164">
        <f>IF($K$10&gt;=$K$11,cal!$AC$3,IF(cal!$X$16=1,IF(cal!$CZ17=0,"",cal!I17),cal!I17))</f>
        <v>29</v>
      </c>
      <c r="J18" s="353">
        <f>IF($K$10&gt;=$K$11,cal!$AC$3,IF(cal!$X$16=1,IF(cal!$CZ17=0,"",cal!J17),cal!J17))</f>
        <v>1.2997932122495996E-2</v>
      </c>
      <c r="K18" s="165">
        <f>cal!K17</f>
        <v>16</v>
      </c>
      <c r="L18" s="166">
        <f>cal!L17</f>
        <v>24</v>
      </c>
      <c r="M18" s="167">
        <f>cal!M17</f>
        <v>0.7</v>
      </c>
      <c r="N18" s="168">
        <f>cal!N17</f>
        <v>35</v>
      </c>
      <c r="O18" s="164"/>
      <c r="P18" s="168"/>
      <c r="Q18" s="159"/>
      <c r="R18" s="159"/>
      <c r="S18" s="169"/>
      <c r="T18" s="159"/>
      <c r="U18" s="159"/>
    </row>
    <row r="19" spans="2:21" ht="15" customHeight="1" x14ac:dyDescent="0.25">
      <c r="B19" s="110">
        <f>cal!B18</f>
        <v>0.4</v>
      </c>
      <c r="C19" s="111">
        <f>cal!C18</f>
        <v>4</v>
      </c>
      <c r="D19" s="161">
        <f>IF($E$10&lt;=$E$11,cal!$AC$4,cal!D18)</f>
        <v>691.76841147721154</v>
      </c>
      <c r="E19" s="162">
        <f>IF($E$10&lt;=$E$11,"",cal!E18)</f>
        <v>59</v>
      </c>
      <c r="F19" s="163">
        <f>IF($E$10&lt;=$E$11,"",cal!F18)</f>
        <v>5.0875474673144246E-2</v>
      </c>
      <c r="G19" s="164">
        <f>IF($K$10&gt;=$K$11,cal!$AC$3,IF(cal!$X$16=1,IF(cal!$CZ18=0,"",cal!G18),cal!G18))</f>
        <v>122.21148525330661</v>
      </c>
      <c r="H19" s="164">
        <f>IF($K$10&gt;=$K$11,cal!$AC$3,IF(cal!$X$16=1,IF(cal!$CZ18=0,"",cal!H18),cal!H18))</f>
        <v>122.21148525330661</v>
      </c>
      <c r="I19" s="164">
        <f>IF($K$10&gt;=$K$11,cal!$AC$3,IF(cal!$X$16=1,IF(cal!$CZ18=0,"",cal!I18),cal!I18))</f>
        <v>53</v>
      </c>
      <c r="J19" s="353">
        <f>IF($K$10&gt;=$K$11,cal!$AC$3,IF(cal!$X$16=1,IF(cal!$CZ18=0,"",cal!J18),cal!J18))</f>
        <v>4.1402017452910528E-2</v>
      </c>
      <c r="K19" s="165">
        <f>cal!K18</f>
        <v>19</v>
      </c>
      <c r="L19" s="166">
        <f>cal!L18</f>
        <v>27</v>
      </c>
      <c r="M19" s="167">
        <f>cal!M18</f>
        <v>1.4</v>
      </c>
      <c r="N19" s="168">
        <f>cal!N18</f>
        <v>44</v>
      </c>
      <c r="O19" s="164"/>
      <c r="P19" s="168"/>
      <c r="Q19" s="159"/>
      <c r="R19" s="159"/>
      <c r="S19" s="169"/>
      <c r="T19" s="159"/>
      <c r="U19" s="159"/>
    </row>
    <row r="20" spans="2:21" ht="15" customHeight="1" x14ac:dyDescent="0.25">
      <c r="B20" s="110">
        <f>cal!B19</f>
        <v>0.6</v>
      </c>
      <c r="C20" s="111">
        <f>cal!C19</f>
        <v>6</v>
      </c>
      <c r="D20" s="161">
        <f>IF($E$10&lt;=$E$11,"",cal!D19)</f>
        <v>1031.2359042995408</v>
      </c>
      <c r="E20" s="162">
        <f>IF($E$10&lt;=$E$11,"",cal!E19)</f>
        <v>89</v>
      </c>
      <c r="F20" s="163">
        <f>IF($E$10&lt;=$E$11,"",cal!F19)</f>
        <v>0.11208162007510875</v>
      </c>
      <c r="G20" s="164">
        <f>IF($K$10&gt;=$K$11,cal!$AC$3,IF(cal!$X$16=1,IF(cal!$CZ19=0,"",cal!G19),cal!G19))</f>
        <v>174.53607497828463</v>
      </c>
      <c r="H20" s="164">
        <f>IF($K$10&gt;=$K$11,cal!$AC$3,IF(cal!$X$16=1,IF(cal!$CZ19=0,"",cal!H19),cal!H19))</f>
        <v>174.53607497828463</v>
      </c>
      <c r="I20" s="164">
        <f>IF($K$10&gt;=$K$11,cal!$AC$3,IF(cal!$X$16=1,IF(cal!$CZ19=0,"",cal!I19),cal!I19))</f>
        <v>75</v>
      </c>
      <c r="J20" s="353">
        <f>IF($K$10&gt;=$K$11,cal!$AC$3,IF(cal!$X$16=1,IF(cal!$CZ19=0,"",cal!J19),cal!J19))</f>
        <v>8.0672630972883866E-2</v>
      </c>
      <c r="K20" s="165">
        <f>cal!K19</f>
        <v>27</v>
      </c>
      <c r="L20" s="166">
        <f>cal!L19</f>
        <v>35</v>
      </c>
      <c r="M20" s="167">
        <f>cal!M19</f>
        <v>2.6</v>
      </c>
      <c r="N20" s="168">
        <f>cal!N19</f>
        <v>85</v>
      </c>
      <c r="O20" s="164"/>
      <c r="P20" s="168"/>
      <c r="Q20" s="159"/>
      <c r="R20" s="159"/>
      <c r="S20" s="169"/>
      <c r="T20" s="159"/>
      <c r="U20" s="159"/>
    </row>
    <row r="21" spans="2:21" ht="15" customHeight="1" x14ac:dyDescent="0.25">
      <c r="B21" s="110">
        <f>cal!B20</f>
        <v>0.8</v>
      </c>
      <c r="C21" s="111">
        <f>cal!C20</f>
        <v>8</v>
      </c>
      <c r="D21" s="161">
        <f>IF($E$10&lt;=$E$11,"",cal!D20)</f>
        <v>1331.183342453952</v>
      </c>
      <c r="E21" s="162">
        <f>IF($E$10&lt;=$E$11,"",cal!E20)</f>
        <v>114</v>
      </c>
      <c r="F21" s="163">
        <f>IF($E$10&lt;=$E$11,"",cal!F20)</f>
        <v>0.18034462298913481</v>
      </c>
      <c r="G21" s="164">
        <f>IF($K$10&gt;=$K$11,cal!$AC$3,IF(cal!$X$16=1,IF(cal!$CZ20=0,"",cal!G20),cal!G20))</f>
        <v>224.28014109231404</v>
      </c>
      <c r="H21" s="164">
        <f>IF($K$10&gt;=$K$11,cal!$AC$3,IF(cal!$X$16=1,IF(cal!$CZ20=0,"",cal!H20),cal!H20))</f>
        <v>224.28014109231404</v>
      </c>
      <c r="I21" s="164">
        <f>IF($K$10&gt;=$K$11,cal!$AC$3,IF(cal!$X$16=1,IF(cal!$CZ20=0,"",cal!I20),cal!I20))</f>
        <v>96</v>
      </c>
      <c r="J21" s="353">
        <f>IF($K$10&gt;=$K$11,cal!$AC$3,IF(cal!$X$16=1,IF(cal!$CZ20=0,"",cal!J20),cal!J20))</f>
        <v>0.12963111643218425</v>
      </c>
      <c r="K21" s="165">
        <f>cal!K20</f>
        <v>35</v>
      </c>
      <c r="L21" s="166">
        <f>cal!L20</f>
        <v>43</v>
      </c>
      <c r="M21" s="167">
        <f>cal!M20</f>
        <v>4.7</v>
      </c>
      <c r="N21" s="168">
        <f>cal!N20</f>
        <v>117</v>
      </c>
      <c r="O21" s="164"/>
      <c r="P21" s="168"/>
      <c r="Q21" s="159"/>
      <c r="R21" s="159"/>
      <c r="S21" s="169"/>
      <c r="T21" s="159"/>
      <c r="U21" s="159"/>
    </row>
    <row r="22" spans="2:21" ht="15" customHeight="1" x14ac:dyDescent="0.25">
      <c r="B22" s="110">
        <f>cal!B21</f>
        <v>1</v>
      </c>
      <c r="C22" s="111">
        <f>cal!C21</f>
        <v>10</v>
      </c>
      <c r="D22" s="161">
        <f>IF($E$10&lt;=$E$11,"",cal!D21)</f>
        <v>1591.6107259404453</v>
      </c>
      <c r="E22" s="162">
        <f>IF($E$10&lt;=$E$11,"",cal!E21)</f>
        <v>137</v>
      </c>
      <c r="F22" s="163">
        <f>IF($E$10&lt;=$E$11,"",cal!F21)</f>
        <v>0.25671634719537284</v>
      </c>
      <c r="G22" s="164">
        <f>IF($K$10&gt;=$K$11,cal!$AC$3,IF(cal!$X$16=1,IF(cal!$CZ21=0,"",cal!G21),cal!G21))</f>
        <v>271.44368359539482</v>
      </c>
      <c r="H22" s="164">
        <f>IF($K$10&gt;=$K$11,cal!$AC$3,IF(cal!$X$16=1,IF(cal!$CZ21=0,"",cal!H21),cal!H21))</f>
        <v>271.44368359539482</v>
      </c>
      <c r="I22" s="164">
        <f>IF($K$10&gt;=$K$11,cal!$AC$3,IF(cal!$X$16=1,IF(cal!$CZ21=0,"",cal!I21),cal!I21))</f>
        <v>117</v>
      </c>
      <c r="J22" s="353">
        <f>IF($K$10&gt;=$K$11,cal!$AC$3,IF(cal!$X$16=1,IF(cal!$CZ21=0,"",cal!J21),cal!J21))</f>
        <v>0.18957342604976077</v>
      </c>
      <c r="K22" s="165">
        <f>cal!K21</f>
        <v>38</v>
      </c>
      <c r="L22" s="166">
        <f>cal!L21</f>
        <v>46</v>
      </c>
      <c r="M22" s="167">
        <f>cal!M21</f>
        <v>7.6</v>
      </c>
      <c r="N22" s="168">
        <f>cal!N21</f>
        <v>137</v>
      </c>
      <c r="O22" s="164"/>
      <c r="P22" s="168"/>
      <c r="Q22" s="159"/>
      <c r="R22" s="159"/>
      <c r="S22" s="169"/>
      <c r="T22" s="159"/>
      <c r="U22" s="159"/>
    </row>
    <row r="23" spans="2:21" ht="15" customHeight="1" x14ac:dyDescent="0.25">
      <c r="B23" s="306" t="str">
        <f>cal!B22</f>
        <v>Clima Canal height 13 cm width 32 cm length 100 cm (Type 2)</v>
      </c>
      <c r="C23" s="307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264"/>
      <c r="P23" s="265"/>
      <c r="Q23" s="159"/>
      <c r="R23" s="159"/>
      <c r="S23" s="160"/>
      <c r="T23" s="159"/>
      <c r="U23" s="159"/>
    </row>
    <row r="24" spans="2:21" ht="15" customHeight="1" x14ac:dyDescent="0.25">
      <c r="B24" s="110">
        <f>cal!B23</f>
        <v>0.2</v>
      </c>
      <c r="C24" s="111">
        <f>cal!C23</f>
        <v>2</v>
      </c>
      <c r="D24" s="161">
        <f>IF($E$10&lt;=$E$11,cal!$AC$3,cal!D23)</f>
        <v>592.88313024394665</v>
      </c>
      <c r="E24" s="162">
        <f>IF($E$10&lt;=$E$11,"",cal!E23)</f>
        <v>51</v>
      </c>
      <c r="F24" s="163">
        <f>IF($E$10&lt;=$E$11,"",cal!F23)</f>
        <v>4.9749049417933157E-2</v>
      </c>
      <c r="G24" s="164">
        <f>IF($K$10&gt;=$K$11,cal!$AC$3,IF(cal!$X$16=1,IF(cal!$CZ23=0,"",cal!G23),cal!G23))</f>
        <v>127.58073482846659</v>
      </c>
      <c r="H24" s="164">
        <f>IF($K$10&gt;=$K$11,cal!$AC$3,IF(cal!$X$16=1,IF(cal!$CZ23=0,"",cal!H23),cal!H23))</f>
        <v>127.58073482846659</v>
      </c>
      <c r="I24" s="164">
        <f>IF($K$10&gt;=$K$11,cal!$AC$3,IF(cal!$X$16=1,IF(cal!$CZ23=0,"",cal!I23),cal!I23))</f>
        <v>55</v>
      </c>
      <c r="J24" s="353">
        <f>IF($K$10&gt;=$K$11,cal!$AC$3,IF(cal!$X$16=1,IF(cal!$CZ23=0,"",cal!J23),cal!J23))</f>
        <v>5.7381658640042632E-2</v>
      </c>
      <c r="K24" s="165">
        <f>cal!K23</f>
        <v>20</v>
      </c>
      <c r="L24" s="166">
        <f>cal!L23</f>
        <v>28</v>
      </c>
      <c r="M24" s="167">
        <f>cal!M23</f>
        <v>1</v>
      </c>
      <c r="N24" s="168">
        <f>cal!N23</f>
        <v>44</v>
      </c>
      <c r="O24" s="164"/>
      <c r="P24" s="168"/>
      <c r="Q24" s="159"/>
      <c r="R24" s="159"/>
      <c r="S24" s="169"/>
      <c r="T24" s="159"/>
      <c r="U24" s="159"/>
    </row>
    <row r="25" spans="2:21" ht="15" customHeight="1" x14ac:dyDescent="0.25">
      <c r="B25" s="110">
        <f>cal!B24</f>
        <v>0.4</v>
      </c>
      <c r="C25" s="111">
        <f>cal!C24</f>
        <v>4</v>
      </c>
      <c r="D25" s="161">
        <f>IF($E$10&lt;=$E$11,cal!$AC$4,cal!D24)</f>
        <v>1311.2625113075501</v>
      </c>
      <c r="E25" s="162">
        <f>IF($E$10&lt;=$E$11,"",cal!E24)</f>
        <v>113</v>
      </c>
      <c r="F25" s="163">
        <f>IF($E$10&lt;=$E$11,"",cal!F24)</f>
        <v>0.22382347012575171</v>
      </c>
      <c r="G25" s="164">
        <f>IF($K$10&gt;=$K$11,cal!$AC$3,IF(cal!$X$16=1,IF(cal!$CZ24=0,"",cal!G24),cal!G24))</f>
        <v>231.65460637567074</v>
      </c>
      <c r="H25" s="164">
        <f>IF($K$10&gt;=$K$11,cal!$AC$3,IF(cal!$X$16=1,IF(cal!$CZ24=0,"",cal!H24),cal!H24))</f>
        <v>231.65460637567074</v>
      </c>
      <c r="I25" s="164">
        <f>IF($K$10&gt;=$K$11,cal!$AC$3,IF(cal!$X$16=1,IF(cal!$CZ24=0,"",cal!I24),cal!I24))</f>
        <v>100</v>
      </c>
      <c r="J25" s="353">
        <f>IF($K$10&gt;=$K$11,cal!$AC$3,IF(cal!$X$16=1,IF(cal!$CZ24=0,"",cal!J24),cal!J24))</f>
        <v>0.17765213665738669</v>
      </c>
      <c r="K25" s="165">
        <f>cal!K24</f>
        <v>25</v>
      </c>
      <c r="L25" s="166">
        <f>cal!L24</f>
        <v>33</v>
      </c>
      <c r="M25" s="167">
        <f>cal!M24</f>
        <v>1.8</v>
      </c>
      <c r="N25" s="168">
        <f>cal!N24</f>
        <v>85</v>
      </c>
      <c r="O25" s="164"/>
      <c r="P25" s="168"/>
      <c r="Q25" s="159"/>
      <c r="R25" s="159"/>
      <c r="S25" s="169"/>
      <c r="T25" s="159"/>
      <c r="U25" s="159"/>
    </row>
    <row r="26" spans="2:21" ht="15" customHeight="1" x14ac:dyDescent="0.25">
      <c r="B26" s="110">
        <f>cal!B25</f>
        <v>0.6</v>
      </c>
      <c r="C26" s="111">
        <f>cal!C25</f>
        <v>6</v>
      </c>
      <c r="D26" s="161">
        <f>IF($E$10&lt;=$E$11,"",cal!D25)</f>
        <v>1954.7307439707715</v>
      </c>
      <c r="E26" s="162">
        <f>IF($E$10&lt;=$E$11,"",cal!E25)</f>
        <v>168</v>
      </c>
      <c r="F26" s="163">
        <f>IF($E$10&lt;=$E$11,"",cal!F25)</f>
        <v>0.47367105666773596</v>
      </c>
      <c r="G26" s="164">
        <f>IF($K$10&gt;=$K$11,cal!$AC$3,IF(cal!$X$16=1,IF(cal!$CZ25=0,"",cal!G25),cal!G25))</f>
        <v>330.83703764540519</v>
      </c>
      <c r="H26" s="164">
        <f>IF($K$10&gt;=$K$11,cal!$AC$3,IF(cal!$X$16=1,IF(cal!$CZ25=0,"",cal!H25),cal!H25))</f>
        <v>330.83703764540519</v>
      </c>
      <c r="I26" s="164">
        <f>IF($K$10&gt;=$K$11,cal!$AC$3,IF(cal!$X$16=1,IF(cal!$CZ25=0,"",cal!I25),cal!I25))</f>
        <v>142</v>
      </c>
      <c r="J26" s="353">
        <f>IF($K$10&gt;=$K$11,cal!$AC$3,IF(cal!$X$16=1,IF(cal!$CZ25=0,"",cal!J25),cal!J25))</f>
        <v>0.34470214347955219</v>
      </c>
      <c r="K26" s="165">
        <f>cal!K25</f>
        <v>29</v>
      </c>
      <c r="L26" s="166">
        <f>cal!L25</f>
        <v>37</v>
      </c>
      <c r="M26" s="167">
        <f>cal!M25</f>
        <v>3.4</v>
      </c>
      <c r="N26" s="168">
        <f>cal!N25</f>
        <v>133</v>
      </c>
      <c r="O26" s="164"/>
      <c r="P26" s="168"/>
      <c r="Q26" s="159"/>
      <c r="R26" s="159"/>
      <c r="S26" s="169"/>
      <c r="T26" s="159"/>
      <c r="U26" s="159"/>
    </row>
    <row r="27" spans="2:21" ht="15" customHeight="1" x14ac:dyDescent="0.25">
      <c r="B27" s="110">
        <f>cal!B26</f>
        <v>0.8</v>
      </c>
      <c r="C27" s="111">
        <f>cal!C26</f>
        <v>8</v>
      </c>
      <c r="D27" s="161">
        <f>IF($E$10&lt;=$E$11,"",cal!D26)</f>
        <v>2523.2878282336105</v>
      </c>
      <c r="E27" s="162">
        <f>IF($E$10&lt;=$E$11,"",cal!E26)</f>
        <v>217</v>
      </c>
      <c r="F27" s="163">
        <f>IF($E$10&lt;=$E$11,"",cal!F26)</f>
        <v>0.76839876520221462</v>
      </c>
      <c r="G27" s="164">
        <f>IF($K$10&gt;=$K$11,cal!$AC$3,IF(cal!$X$16=1,IF(cal!$CZ26=0,"",cal!G26),cal!G26))</f>
        <v>425.1280286376699</v>
      </c>
      <c r="H27" s="164">
        <f>IF($K$10&gt;=$K$11,cal!$AC$3,IF(cal!$X$16=1,IF(cal!$CZ26=0,"",cal!H26),cal!H26))</f>
        <v>425.1280286376699</v>
      </c>
      <c r="I27" s="164">
        <f>IF($K$10&gt;=$K$11,cal!$AC$3,IF(cal!$X$16=1,IF(cal!$CZ26=0,"",cal!I26),cal!I26))</f>
        <v>183</v>
      </c>
      <c r="J27" s="353">
        <f>IF($K$10&gt;=$K$11,cal!$AC$3,IF(cal!$X$16=1,IF(cal!$CZ26=0,"",cal!J26),cal!J26))</f>
        <v>0.55678395698915206</v>
      </c>
      <c r="K27" s="165">
        <f>cal!K26</f>
        <v>36</v>
      </c>
      <c r="L27" s="166">
        <f>cal!L26</f>
        <v>44</v>
      </c>
      <c r="M27" s="167">
        <f>cal!M26</f>
        <v>6.3</v>
      </c>
      <c r="N27" s="168">
        <f>cal!N26</f>
        <v>168</v>
      </c>
      <c r="O27" s="164"/>
      <c r="P27" s="168"/>
      <c r="Q27" s="159"/>
      <c r="R27" s="159"/>
      <c r="S27" s="169"/>
      <c r="T27" s="159"/>
      <c r="U27" s="159"/>
    </row>
    <row r="28" spans="2:21" ht="15" customHeight="1" x14ac:dyDescent="0.25">
      <c r="B28" s="110">
        <f>cal!B27</f>
        <v>1</v>
      </c>
      <c r="C28" s="111">
        <f>cal!C27</f>
        <v>10</v>
      </c>
      <c r="D28" s="161">
        <f>IF($E$10&lt;=$E$11,"",cal!D27)</f>
        <v>3016.9337640960675</v>
      </c>
      <c r="E28" s="162">
        <f>IF($E$10&lt;=$E$11,"",cal!E27)</f>
        <v>259</v>
      </c>
      <c r="F28" s="163">
        <f>IF($E$10&lt;=$E$11,"",cal!F27)</f>
        <v>1.0735909116187621</v>
      </c>
      <c r="G28" s="164">
        <f>IF($K$10&gt;=$K$11,cal!$AC$3,IF(cal!$X$16=1,IF(cal!$CZ27=0,"",cal!G27),cal!G27))</f>
        <v>514.52757935246484</v>
      </c>
      <c r="H28" s="164">
        <f>IF($K$10&gt;=$K$11,cal!$AC$3,IF(cal!$X$16=1,IF(cal!$CZ27=0,"",cal!H27),cal!H27))</f>
        <v>514.52757935246484</v>
      </c>
      <c r="I28" s="164">
        <f>IF($K$10&gt;=$K$11,cal!$AC$3,IF(cal!$X$16=1,IF(cal!$CZ27=0,"",cal!I27),cal!I27))</f>
        <v>221</v>
      </c>
      <c r="J28" s="353">
        <f>IF($K$10&gt;=$K$11,cal!$AC$3,IF(cal!$X$16=1,IF(cal!$CZ27=0,"",cal!J27),cal!J27))</f>
        <v>0.79539286149473631</v>
      </c>
      <c r="K28" s="165">
        <f>cal!K27</f>
        <v>39</v>
      </c>
      <c r="L28" s="166">
        <f>cal!L27</f>
        <v>47</v>
      </c>
      <c r="M28" s="167">
        <f>cal!M27</f>
        <v>10.7</v>
      </c>
      <c r="N28" s="168">
        <f>cal!N27</f>
        <v>202</v>
      </c>
      <c r="O28" s="164"/>
      <c r="P28" s="168"/>
      <c r="Q28" s="159"/>
      <c r="R28" s="159"/>
      <c r="S28" s="169"/>
      <c r="T28" s="159"/>
      <c r="U28" s="159"/>
    </row>
    <row r="29" spans="2:21" ht="15" customHeight="1" x14ac:dyDescent="0.25">
      <c r="B29" s="306" t="str">
        <f>cal!B28</f>
        <v>Clima Canal height 13 cm width 32 cm length 120 cm (Type 3)</v>
      </c>
      <c r="C29" s="307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264"/>
      <c r="P29" s="265"/>
      <c r="Q29" s="159"/>
      <c r="R29" s="159"/>
      <c r="S29" s="160"/>
      <c r="T29" s="159"/>
      <c r="U29" s="159"/>
    </row>
    <row r="30" spans="2:21" ht="15" customHeight="1" x14ac:dyDescent="0.25">
      <c r="B30" s="110">
        <f>cal!B29</f>
        <v>0.2</v>
      </c>
      <c r="C30" s="111">
        <f>cal!C29</f>
        <v>2</v>
      </c>
      <c r="D30" s="161">
        <f>IF($E$10&lt;=$E$11,cal!$AC$3,cal!D29)</f>
        <v>779.61797441526835</v>
      </c>
      <c r="E30" s="162">
        <f>IF($E$10&lt;=$E$11,"",cal!E29)</f>
        <v>67</v>
      </c>
      <c r="F30" s="163">
        <f>IF($E$10&lt;=$E$11,"",cal!F29)</f>
        <v>9.5680370198988743E-2</v>
      </c>
      <c r="G30" s="164">
        <f>IF($K$10&gt;=$K$11,cal!$AC$3,IF(cal!$X$16=1,IF(cal!$CZ29=0,"",cal!G29),cal!G29))</f>
        <v>167.76364343585763</v>
      </c>
      <c r="H30" s="164">
        <f>IF($K$10&gt;=$K$11,cal!$AC$3,IF(cal!$X$16=1,IF(cal!$CZ29=0,"",cal!H29),cal!H29))</f>
        <v>167.76364343585763</v>
      </c>
      <c r="I30" s="164">
        <f>IF($K$10&gt;=$K$11,cal!$AC$3,IF(cal!$X$16=1,IF(cal!$CZ29=0,"",cal!I29),cal!I29))</f>
        <v>72</v>
      </c>
      <c r="J30" s="353">
        <f>IF($K$10&gt;=$K$11,cal!$AC$3,IF(cal!$X$16=1,IF(cal!$CZ29=0,"",cal!J29),cal!J29))</f>
        <v>0.10950426958037363</v>
      </c>
      <c r="K30" s="165">
        <f>cal!K29</f>
        <v>20</v>
      </c>
      <c r="L30" s="166">
        <f>cal!L29</f>
        <v>28</v>
      </c>
      <c r="M30" s="167">
        <f>cal!M29</f>
        <v>1.7</v>
      </c>
      <c r="N30" s="168">
        <f>cal!N29</f>
        <v>49</v>
      </c>
      <c r="O30" s="164"/>
      <c r="P30" s="168"/>
      <c r="Q30" s="159"/>
      <c r="R30" s="159"/>
      <c r="S30" s="169"/>
      <c r="T30" s="159"/>
      <c r="U30" s="159"/>
    </row>
    <row r="31" spans="2:21" ht="15" customHeight="1" x14ac:dyDescent="0.25">
      <c r="B31" s="110">
        <f>cal!B30</f>
        <v>0.4</v>
      </c>
      <c r="C31" s="111">
        <f>cal!C30</f>
        <v>4</v>
      </c>
      <c r="D31" s="161">
        <f>IF($E$10&lt;=$E$11,cal!$AC$4,cal!D30)</f>
        <v>1724.2585778611092</v>
      </c>
      <c r="E31" s="162">
        <f>IF($E$10&lt;=$E$11,"",cal!E30)</f>
        <v>148</v>
      </c>
      <c r="F31" s="163">
        <f>IF($E$10&lt;=$E$11,"",cal!F30)</f>
        <v>0.42283763794736967</v>
      </c>
      <c r="G31" s="164">
        <f>IF($K$10&gt;=$K$11,cal!$AC$3,IF(cal!$X$16=1,IF(cal!$CZ30=0,"",cal!G30),cal!G30))</f>
        <v>304.61668712391349</v>
      </c>
      <c r="H31" s="164">
        <f>IF($K$10&gt;=$K$11,cal!$AC$3,IF(cal!$X$16=1,IF(cal!$CZ30=0,"",cal!H30),cal!H30))</f>
        <v>304.61668712391349</v>
      </c>
      <c r="I31" s="164">
        <f>IF($K$10&gt;=$K$11,cal!$AC$3,IF(cal!$X$16=1,IF(cal!$CZ30=0,"",cal!I30),cal!I30))</f>
        <v>131</v>
      </c>
      <c r="J31" s="353">
        <f>IF($K$10&gt;=$K$11,cal!$AC$3,IF(cal!$X$16=1,IF(cal!$CZ30=0,"",cal!J30),cal!J30))</f>
        <v>0.33636945404545421</v>
      </c>
      <c r="K31" s="165">
        <f>cal!K30</f>
        <v>26</v>
      </c>
      <c r="L31" s="166">
        <f>cal!L30</f>
        <v>34</v>
      </c>
      <c r="M31" s="167">
        <f>cal!M30</f>
        <v>2.9</v>
      </c>
      <c r="N31" s="168">
        <f>cal!N30</f>
        <v>114</v>
      </c>
      <c r="O31" s="164"/>
      <c r="P31" s="168"/>
      <c r="Q31" s="159"/>
      <c r="R31" s="159"/>
      <c r="S31" s="169"/>
      <c r="T31" s="159"/>
      <c r="U31" s="159"/>
    </row>
    <row r="32" spans="2:21" ht="15" customHeight="1" x14ac:dyDescent="0.25">
      <c r="B32" s="110">
        <f>cal!B31</f>
        <v>0.6</v>
      </c>
      <c r="C32" s="111">
        <f>cal!C31</f>
        <v>6</v>
      </c>
      <c r="D32" s="161">
        <f>IF($E$10&lt;=$E$11,"",cal!D31)</f>
        <v>2570.3939704182585</v>
      </c>
      <c r="E32" s="162">
        <f>IF($E$10&lt;=$E$11,"",cal!E31)</f>
        <v>221</v>
      </c>
      <c r="F32" s="163">
        <f>IF($E$10&lt;=$E$11,"",cal!F31)</f>
        <v>0.8967442523572674</v>
      </c>
      <c r="G32" s="164">
        <f>IF($K$10&gt;=$K$11,cal!$AC$3,IF(cal!$X$16=1,IF(cal!$CZ31=0,"",cal!G31),cal!G31))</f>
        <v>435.03767942348554</v>
      </c>
      <c r="H32" s="164">
        <f>IF($K$10&gt;=$K$11,cal!$AC$3,IF(cal!$X$16=1,IF(cal!$CZ31=0,"",cal!H31),cal!H31))</f>
        <v>435.03767942348554</v>
      </c>
      <c r="I32" s="164">
        <f>IF($K$10&gt;=$K$11,cal!$AC$3,IF(cal!$X$16=1,IF(cal!$CZ31=0,"",cal!I31),cal!I31))</f>
        <v>187</v>
      </c>
      <c r="J32" s="353">
        <f>IF($K$10&gt;=$K$11,cal!$AC$3,IF(cal!$X$16=1,IF(cal!$CZ31=0,"",cal!J31),cal!J31))</f>
        <v>0.65559560177938114</v>
      </c>
      <c r="K32" s="165">
        <f>cal!K31</f>
        <v>30</v>
      </c>
      <c r="L32" s="166">
        <f>cal!L31</f>
        <v>38</v>
      </c>
      <c r="M32" s="167">
        <f>cal!M31</f>
        <v>5</v>
      </c>
      <c r="N32" s="168">
        <f>cal!N31</f>
        <v>174</v>
      </c>
      <c r="O32" s="164"/>
      <c r="P32" s="168"/>
      <c r="Q32" s="159"/>
      <c r="R32" s="159"/>
      <c r="S32" s="169"/>
      <c r="T32" s="159"/>
      <c r="U32" s="159"/>
    </row>
    <row r="33" spans="2:21" ht="15" customHeight="1" x14ac:dyDescent="0.25">
      <c r="B33" s="110">
        <f>cal!B32</f>
        <v>0.8</v>
      </c>
      <c r="C33" s="111">
        <f>cal!C32</f>
        <v>8</v>
      </c>
      <c r="D33" s="161">
        <f>IF($E$10&lt;=$E$11,"",cal!D32)</f>
        <v>3318.0241520867162</v>
      </c>
      <c r="E33" s="162">
        <f>IF($E$10&lt;=$E$11,"",cal!E32)</f>
        <v>285</v>
      </c>
      <c r="F33" s="163">
        <f>IF($E$10&lt;=$E$11,"",cal!F32)</f>
        <v>1.4446655180391863</v>
      </c>
      <c r="G33" s="164">
        <f>IF($K$10&gt;=$K$11,cal!$AC$3,IF(cal!$X$16=1,IF(cal!$CZ32=0,"",cal!G32),cal!G32))</f>
        <v>559.02662033457375</v>
      </c>
      <c r="H33" s="164">
        <f>IF($K$10&gt;=$K$11,cal!$AC$3,IF(cal!$X$16=1,IF(cal!$CZ32=0,"",cal!H32),cal!H32))</f>
        <v>559.02662033457375</v>
      </c>
      <c r="I33" s="164">
        <f>IF($K$10&gt;=$K$11,cal!$AC$3,IF(cal!$X$16=1,IF(cal!$CZ32=0,"",cal!I32),cal!I32))</f>
        <v>240</v>
      </c>
      <c r="J33" s="353">
        <f>IF($K$10&gt;=$K$11,cal!$AC$3,IF(cal!$X$16=1,IF(cal!$CZ32=0,"",cal!J32),cal!J32))</f>
        <v>1.0467168154444026</v>
      </c>
      <c r="K33" s="165">
        <f>cal!K32</f>
        <v>37</v>
      </c>
      <c r="L33" s="166">
        <f>cal!L32</f>
        <v>45</v>
      </c>
      <c r="M33" s="167">
        <f>cal!M32</f>
        <v>8.8000000000000007</v>
      </c>
      <c r="N33" s="168">
        <f>cal!N32</f>
        <v>235</v>
      </c>
      <c r="O33" s="164"/>
      <c r="P33" s="168"/>
      <c r="Q33" s="159"/>
      <c r="R33" s="159"/>
      <c r="S33" s="169"/>
      <c r="T33" s="159"/>
      <c r="U33" s="159"/>
    </row>
    <row r="34" spans="2:21" ht="15" customHeight="1" x14ac:dyDescent="0.25">
      <c r="B34" s="110">
        <f>cal!B33</f>
        <v>1</v>
      </c>
      <c r="C34" s="111">
        <f>cal!C33</f>
        <v>10</v>
      </c>
      <c r="D34" s="161">
        <f>IF($E$10&lt;=$E$11,"",cal!D33)</f>
        <v>3967.1491228664822</v>
      </c>
      <c r="E34" s="162">
        <f>IF($E$10&lt;=$E$11,"",cal!E33)</f>
        <v>341</v>
      </c>
      <c r="F34" s="163">
        <f>IF($E$10&lt;=$E$11,"",cal!F33)</f>
        <v>2.0223100015679076</v>
      </c>
      <c r="G34" s="164">
        <f>IF($K$10&gt;=$K$11,cal!$AC$3,IF(cal!$X$16=1,IF(cal!$CZ33=0,"",cal!G33),cal!G33))</f>
        <v>676.58350985717811</v>
      </c>
      <c r="H34" s="164">
        <f>IF($K$10&gt;=$K$11,cal!$AC$3,IF(cal!$X$16=1,IF(cal!$CZ33=0,"",cal!H33),cal!H33))</f>
        <v>676.58350985717811</v>
      </c>
      <c r="I34" s="164">
        <f>IF($K$10&gt;=$K$11,cal!$AC$3,IF(cal!$X$16=1,IF(cal!$CZ33=0,"",cal!I33),cal!I33))</f>
        <v>291</v>
      </c>
      <c r="J34" s="353">
        <f>IF($K$10&gt;=$K$11,cal!$AC$3,IF(cal!$X$16=1,IF(cal!$CZ33=0,"",cal!J33),cal!J33))</f>
        <v>1.5022166024091557</v>
      </c>
      <c r="K34" s="165">
        <f>cal!K33</f>
        <v>40</v>
      </c>
      <c r="L34" s="166">
        <f>cal!L33</f>
        <v>48</v>
      </c>
      <c r="M34" s="167">
        <f>cal!M33</f>
        <v>12.5</v>
      </c>
      <c r="N34" s="168">
        <f>cal!N33</f>
        <v>273</v>
      </c>
      <c r="O34" s="164"/>
      <c r="P34" s="168"/>
      <c r="Q34" s="159"/>
      <c r="R34" s="159"/>
      <c r="S34" s="169"/>
      <c r="T34" s="159"/>
      <c r="U34" s="159"/>
    </row>
    <row r="35" spans="2:21" ht="15" customHeight="1" x14ac:dyDescent="0.25">
      <c r="B35" s="306" t="str">
        <f>cal!B34</f>
        <v>Clima Canal height 13 cm width 32 cm length 140 cm (Type 4)</v>
      </c>
      <c r="C35" s="307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264"/>
      <c r="P35" s="265"/>
      <c r="Q35" s="159"/>
      <c r="R35" s="159"/>
      <c r="S35" s="160"/>
      <c r="T35" s="159"/>
      <c r="U35" s="159"/>
    </row>
    <row r="36" spans="2:21" ht="15" customHeight="1" x14ac:dyDescent="0.25">
      <c r="B36" s="110">
        <f>cal!B35</f>
        <v>0.2</v>
      </c>
      <c r="C36" s="111">
        <f>cal!C35</f>
        <v>2</v>
      </c>
      <c r="D36" s="161">
        <f>IF($E$10&lt;=$E$11,cal!$AC$3,cal!D35)</f>
        <v>966.35281858659005</v>
      </c>
      <c r="E36" s="162">
        <f>IF($E$10&lt;=$E$11,"",cal!E35)</f>
        <v>83</v>
      </c>
      <c r="F36" s="163">
        <f>IF($E$10&lt;=$E$11,"",cal!F35)</f>
        <v>0.16127172062869963</v>
      </c>
      <c r="G36" s="164">
        <f>IF($K$10&gt;=$K$11,cal!$AC$3,IF(cal!$X$16=1,IF(cal!$CZ35=0,"",cal!G35),cal!G35))</f>
        <v>207.94655204324866</v>
      </c>
      <c r="H36" s="164">
        <f>IF($K$10&gt;=$K$11,cal!$AC$3,IF(cal!$X$16=1,IF(cal!$CZ35=0,"",cal!H35),cal!H35))</f>
        <v>207.94655204324866</v>
      </c>
      <c r="I36" s="164">
        <f>IF($K$10&gt;=$K$11,cal!$AC$3,IF(cal!$X$16=1,IF(cal!$CZ35=0,"",cal!I35),cal!I35))</f>
        <v>89</v>
      </c>
      <c r="J36" s="353">
        <f>IF($K$10&gt;=$K$11,cal!$AC$3,IF(cal!$X$16=1,IF(cal!$CZ35=0,"",cal!J35),cal!J35))</f>
        <v>0.18365358149059038</v>
      </c>
      <c r="K36" s="165">
        <f>cal!K35</f>
        <v>21.5</v>
      </c>
      <c r="L36" s="166">
        <f>cal!L35</f>
        <v>29.5</v>
      </c>
      <c r="M36" s="167">
        <f>cal!M35</f>
        <v>1.7</v>
      </c>
      <c r="N36" s="168">
        <f>cal!N35</f>
        <v>79</v>
      </c>
      <c r="O36" s="164"/>
      <c r="P36" s="168"/>
      <c r="Q36" s="159"/>
      <c r="R36" s="159"/>
      <c r="S36" s="169"/>
      <c r="T36" s="159"/>
      <c r="U36" s="159"/>
    </row>
    <row r="37" spans="2:21" ht="15" customHeight="1" x14ac:dyDescent="0.25">
      <c r="B37" s="110">
        <f>cal!B36</f>
        <v>0.4</v>
      </c>
      <c r="C37" s="111">
        <f>cal!C36</f>
        <v>4</v>
      </c>
      <c r="D37" s="161">
        <f>IF($E$10&lt;=$E$11,cal!$AC$4,cal!D36)</f>
        <v>2137.2546444146683</v>
      </c>
      <c r="E37" s="162">
        <f>IF($E$10&lt;=$E$11,"",cal!E36)</f>
        <v>184</v>
      </c>
      <c r="F37" s="163">
        <f>IF($E$10&lt;=$E$11,"",cal!F36)</f>
        <v>0.71011737641248318</v>
      </c>
      <c r="G37" s="164">
        <f>IF($K$10&gt;=$K$11,cal!$AC$3,IF(cal!$X$16=1,IF(cal!$CZ36=0,"",cal!G36),cal!G36))</f>
        <v>377.57876787215622</v>
      </c>
      <c r="H37" s="164">
        <f>IF($K$10&gt;=$K$11,cal!$AC$3,IF(cal!$X$16=1,IF(cal!$CZ36=0,"",cal!H36),cal!H36))</f>
        <v>377.57876787215622</v>
      </c>
      <c r="I37" s="164">
        <f>IF($K$10&gt;=$K$11,cal!$AC$3,IF(cal!$X$16=1,IF(cal!$CZ36=0,"",cal!I36),cal!I36))</f>
        <v>162</v>
      </c>
      <c r="J37" s="353">
        <f>IF($K$10&gt;=$K$11,cal!$AC$3,IF(cal!$X$16=1,IF(cal!$CZ36=0,"",cal!J36),cal!J36))</f>
        <v>0.56021609765679192</v>
      </c>
      <c r="K37" s="165">
        <f>cal!K36</f>
        <v>26</v>
      </c>
      <c r="L37" s="166">
        <f>cal!L36</f>
        <v>34</v>
      </c>
      <c r="M37" s="167">
        <f>cal!M36</f>
        <v>3.1</v>
      </c>
      <c r="N37" s="168">
        <f>cal!N36</f>
        <v>129</v>
      </c>
      <c r="O37" s="164"/>
      <c r="P37" s="168"/>
      <c r="Q37" s="159"/>
      <c r="R37" s="159"/>
      <c r="S37" s="169"/>
      <c r="T37" s="159"/>
      <c r="U37" s="159"/>
    </row>
    <row r="38" spans="2:21" ht="15" customHeight="1" x14ac:dyDescent="0.25">
      <c r="B38" s="110">
        <f>cal!B37</f>
        <v>0.6</v>
      </c>
      <c r="C38" s="111">
        <f>cal!C37</f>
        <v>6</v>
      </c>
      <c r="D38" s="161">
        <f>IF($E$10&lt;=$E$11,"",cal!D37)</f>
        <v>3186.0571968657455</v>
      </c>
      <c r="E38" s="162">
        <f>IF($E$10&lt;=$E$11,"",cal!E37)</f>
        <v>274</v>
      </c>
      <c r="F38" s="163">
        <f>IF($E$10&lt;=$E$11,"",cal!F37)</f>
        <v>1.4905040937234273</v>
      </c>
      <c r="G38" s="164">
        <f>IF($K$10&gt;=$K$11,cal!$AC$3,IF(cal!$X$16=1,IF(cal!$CZ37=0,"",cal!G37),cal!G37))</f>
        <v>539.2383212015659</v>
      </c>
      <c r="H38" s="164">
        <f>IF($K$10&gt;=$K$11,cal!$AC$3,IF(cal!$X$16=1,IF(cal!$CZ37=0,"",cal!H37),cal!H37))</f>
        <v>539.2383212015659</v>
      </c>
      <c r="I38" s="164">
        <f>IF($K$10&gt;=$K$11,cal!$AC$3,IF(cal!$X$16=1,IF(cal!$CZ37=0,"",cal!I37),cal!I37))</f>
        <v>232</v>
      </c>
      <c r="J38" s="353">
        <f>IF($K$10&gt;=$K$11,cal!$AC$3,IF(cal!$X$16=1,IF(cal!$CZ37=0,"",cal!J37),cal!J37))</f>
        <v>1.0934005896765471</v>
      </c>
      <c r="K38" s="165">
        <f>cal!K37</f>
        <v>31</v>
      </c>
      <c r="L38" s="166">
        <f>cal!L37</f>
        <v>39</v>
      </c>
      <c r="M38" s="167">
        <f>cal!M37</f>
        <v>6</v>
      </c>
      <c r="N38" s="168">
        <f>cal!N37</f>
        <v>218</v>
      </c>
      <c r="O38" s="164"/>
      <c r="P38" s="168"/>
      <c r="Q38" s="159"/>
      <c r="R38" s="159"/>
      <c r="S38" s="169"/>
      <c r="T38" s="159"/>
      <c r="U38" s="159"/>
    </row>
    <row r="39" spans="2:21" ht="15" customHeight="1" x14ac:dyDescent="0.25">
      <c r="B39" s="110">
        <f>cal!B38</f>
        <v>0.8</v>
      </c>
      <c r="C39" s="111">
        <f>cal!C38</f>
        <v>8</v>
      </c>
      <c r="D39" s="161">
        <f>IF($E$10&lt;=$E$11,"",cal!D38)</f>
        <v>4112.7604759398218</v>
      </c>
      <c r="E39" s="162">
        <f>IF($E$10&lt;=$E$11,"",cal!E38)</f>
        <v>354</v>
      </c>
      <c r="F39" s="163">
        <f>IF($E$10&lt;=$E$11,"",cal!F38)</f>
        <v>2.401525268594161</v>
      </c>
      <c r="G39" s="164">
        <f>IF($K$10&gt;=$K$11,cal!$AC$3,IF(cal!$X$16=1,IF(cal!$CZ38=0,"",cal!G38),cal!G38))</f>
        <v>692.9252120314776</v>
      </c>
      <c r="H39" s="164">
        <f>IF($K$10&gt;=$K$11,cal!$AC$3,IF(cal!$X$16=1,IF(cal!$CZ38=0,"",cal!H38),cal!H38))</f>
        <v>692.9252120314776</v>
      </c>
      <c r="I39" s="164">
        <f>IF($K$10&gt;=$K$11,cal!$AC$3,IF(cal!$X$16=1,IF(cal!$CZ38=0,"",cal!I38),cal!I38))</f>
        <v>298</v>
      </c>
      <c r="J39" s="353">
        <f>IF($K$10&gt;=$K$11,cal!$AC$3,IF(cal!$X$16=1,IF(cal!$CZ38=0,"",cal!J38),cal!J38))</f>
        <v>1.7427407566624442</v>
      </c>
      <c r="K39" s="165">
        <f>cal!K38</f>
        <v>38.5</v>
      </c>
      <c r="L39" s="166">
        <f>cal!L38</f>
        <v>46.5</v>
      </c>
      <c r="M39" s="167">
        <f>cal!M38</f>
        <v>11.1</v>
      </c>
      <c r="N39" s="168">
        <f>cal!N38</f>
        <v>285</v>
      </c>
      <c r="O39" s="164"/>
      <c r="P39" s="168"/>
      <c r="Q39" s="159"/>
      <c r="R39" s="159"/>
      <c r="S39" s="169"/>
      <c r="T39" s="159"/>
      <c r="U39" s="159"/>
    </row>
    <row r="40" spans="2:21" ht="15" customHeight="1" x14ac:dyDescent="0.25">
      <c r="B40" s="110">
        <f>cal!B39</f>
        <v>1</v>
      </c>
      <c r="C40" s="111">
        <f>cal!C39</f>
        <v>10</v>
      </c>
      <c r="D40" s="161">
        <f>IF($E$10&lt;=$E$11,"",cal!D39)</f>
        <v>4917.3644816368969</v>
      </c>
      <c r="E40" s="162">
        <f>IF($E$10&lt;=$E$11,"",cal!E39)</f>
        <v>423</v>
      </c>
      <c r="F40" s="163">
        <f>IF($E$10&lt;=$E$11,"",cal!F39)</f>
        <v>3.345722112767969</v>
      </c>
      <c r="G40" s="164">
        <f>IF($K$10&gt;=$K$11,cal!$AC$3,IF(cal!$X$16=1,IF(cal!$CZ39=0,"",cal!G39),cal!G39))</f>
        <v>838.63944036189139</v>
      </c>
      <c r="H40" s="164">
        <f>IF($K$10&gt;=$K$11,cal!$AC$3,IF(cal!$X$16=1,IF(cal!$CZ39=0,"",cal!H39),cal!H39))</f>
        <v>838.63944036189139</v>
      </c>
      <c r="I40" s="164">
        <f>IF($K$10&gt;=$K$11,cal!$AC$3,IF(cal!$X$16=1,IF(cal!$CZ39=0,"",cal!I39),cal!I39))</f>
        <v>361</v>
      </c>
      <c r="J40" s="353">
        <f>IF($K$10&gt;=$K$11,cal!$AC$3,IF(cal!$X$16=1,IF(cal!$CZ39=0,"",cal!J39),cal!J39))</f>
        <v>2.4907010759784249</v>
      </c>
      <c r="K40" s="165">
        <f>cal!K39</f>
        <v>41.5</v>
      </c>
      <c r="L40" s="166">
        <f>cal!L39</f>
        <v>49.5</v>
      </c>
      <c r="M40" s="167">
        <f>cal!M39</f>
        <v>18.3</v>
      </c>
      <c r="N40" s="168">
        <f>cal!N39</f>
        <v>339</v>
      </c>
      <c r="O40" s="164"/>
      <c r="P40" s="168"/>
      <c r="Q40" s="159"/>
      <c r="R40" s="159"/>
      <c r="S40" s="169"/>
      <c r="T40" s="159"/>
      <c r="U40" s="159"/>
    </row>
    <row r="41" spans="2:21" ht="15" customHeight="1" x14ac:dyDescent="0.25">
      <c r="B41" s="306" t="str">
        <f>IF(cal!$X$16=1,"",IF(cal!$X$16=2,"",cal!B40))</f>
        <v>Clima Canal height 13 cm width 32 cm length 170 cm (Type 5)</v>
      </c>
      <c r="C41" s="307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4"/>
      <c r="Q41" s="159"/>
      <c r="R41" s="159"/>
      <c r="S41" s="160"/>
      <c r="T41" s="199"/>
      <c r="U41" s="199"/>
    </row>
    <row r="42" spans="2:21" ht="15" customHeight="1" x14ac:dyDescent="0.25">
      <c r="B42" s="110">
        <f>cal!B41</f>
        <v>0.2</v>
      </c>
      <c r="C42" s="111">
        <f>cal!C41</f>
        <v>2</v>
      </c>
      <c r="D42" s="161">
        <f>IF($E$10&lt;=$E$11,cal!$AC$3,cal!D41)</f>
        <v>1246.4550848435726</v>
      </c>
      <c r="E42" s="162">
        <f>IF($E$10&lt;=$E$11,"",cal!E41)</f>
        <v>107</v>
      </c>
      <c r="F42" s="163">
        <f>IF($E$10&lt;=$E$11,"",cal!F41)</f>
        <v>0.30178323793610806</v>
      </c>
      <c r="G42" s="164">
        <f>IF($K$10&gt;=$K$11,cal!$AC$3,cal!G41)</f>
        <v>268.22091495433523</v>
      </c>
      <c r="H42" s="164">
        <f>IF($K$10&gt;=$K$11,"",cal!H41)</f>
        <v>268.22091495433523</v>
      </c>
      <c r="I42" s="162">
        <f>IF($K$10&gt;=$K$11,"",cal!I41)</f>
        <v>115</v>
      </c>
      <c r="J42" s="353">
        <f>IF($K$10&gt;=$K$11,"",cal!J41)</f>
        <v>0.34476285752532837</v>
      </c>
      <c r="K42" s="165">
        <f>IF(cal!K41=-8,"",cal!K41)</f>
        <v>22</v>
      </c>
      <c r="L42" s="166">
        <f>IF(cal!L41=0,"",cal!L41)</f>
        <v>30</v>
      </c>
      <c r="M42" s="167">
        <f>IF(cal!M41=0,"",cal!M41)</f>
        <v>2.3839999999999999</v>
      </c>
      <c r="N42" s="168">
        <f>IF(cal!N41=0,"",cal!N41)</f>
        <v>84</v>
      </c>
      <c r="O42" s="164"/>
      <c r="P42" s="168"/>
      <c r="Q42" s="159"/>
      <c r="R42" s="159"/>
      <c r="S42" s="169"/>
      <c r="T42" s="199"/>
      <c r="U42" s="199"/>
    </row>
    <row r="43" spans="2:21" ht="15" customHeight="1" x14ac:dyDescent="0.25">
      <c r="B43" s="110">
        <f>cal!B42</f>
        <v>0.4</v>
      </c>
      <c r="C43" s="111">
        <f>cal!C42</f>
        <v>4</v>
      </c>
      <c r="D43" s="161">
        <f>IF($E$10&lt;=$E$11,cal!$AC$4,cal!D42)</f>
        <v>2756.7487442450069</v>
      </c>
      <c r="E43" s="162">
        <f>IF($E$10&lt;=$E$11,"",cal!E42)</f>
        <v>237</v>
      </c>
      <c r="F43" s="163">
        <f>IF($E$10&lt;=$E$11,"",cal!F42)</f>
        <v>1.3105519923123687</v>
      </c>
      <c r="G43" s="164">
        <f>IF($K$10&gt;=$K$11,cal!$AC$5,cal!G42)</f>
        <v>487.02188899452034</v>
      </c>
      <c r="H43" s="164">
        <f>IF($K$10&gt;=$K$11,"",cal!H42)</f>
        <v>487.02188899452034</v>
      </c>
      <c r="I43" s="162">
        <f>IF($K$10&gt;=$K$11,"",cal!I42)</f>
        <v>209</v>
      </c>
      <c r="J43" s="353">
        <f>IF($K$10&gt;=$K$11,"",cal!J42)</f>
        <v>1.0390218472959192</v>
      </c>
      <c r="K43" s="165">
        <f>IF(cal!K42=-8,"",cal!K42)</f>
        <v>27</v>
      </c>
      <c r="L43" s="166">
        <f>IF(cal!L42=0,"",cal!L42)</f>
        <v>35</v>
      </c>
      <c r="M43" s="167">
        <f>IF(cal!M42=0,"",cal!M42)</f>
        <v>4.2</v>
      </c>
      <c r="N43" s="168">
        <f>IF(cal!N42=0,"",cal!N42)</f>
        <v>158</v>
      </c>
      <c r="O43" s="164"/>
      <c r="P43" s="168"/>
      <c r="Q43" s="159"/>
      <c r="R43" s="159"/>
      <c r="S43" s="169"/>
      <c r="T43" s="199"/>
      <c r="U43" s="199"/>
    </row>
    <row r="44" spans="2:21" ht="15" customHeight="1" x14ac:dyDescent="0.25">
      <c r="B44" s="110">
        <f>cal!B43</f>
        <v>0.6</v>
      </c>
      <c r="C44" s="111">
        <f>cal!C43</f>
        <v>6</v>
      </c>
      <c r="D44" s="161">
        <f>IF($E$10&lt;=$E$11,"",cal!D43)</f>
        <v>4109.5520365369757</v>
      </c>
      <c r="E44" s="162">
        <f>IF($E$10&lt;=$E$11,"",cal!E43)</f>
        <v>353</v>
      </c>
      <c r="F44" s="163">
        <f>IF($E$10&lt;=$E$11,"",cal!F43)</f>
        <v>2.7350747723074424</v>
      </c>
      <c r="G44" s="164">
        <f>IF($K$10&gt;=$K$11,"",cal!G43)</f>
        <v>695.53928386868654</v>
      </c>
      <c r="H44" s="164">
        <f>IF($K$10&gt;=$K$11,"",cal!H43)</f>
        <v>695.53928386868654</v>
      </c>
      <c r="I44" s="162">
        <f>IF($K$10&gt;=$K$11,"",cal!I43)</f>
        <v>299</v>
      </c>
      <c r="J44" s="353">
        <f>IF($K$10&gt;=$K$11,"",cal!J43)</f>
        <v>2.0128943688264105</v>
      </c>
      <c r="K44" s="165">
        <f>IF(cal!K43=-8,"",cal!K43)</f>
        <v>32</v>
      </c>
      <c r="L44" s="166">
        <f>IF(cal!L43=0,"",cal!L43)</f>
        <v>40</v>
      </c>
      <c r="M44" s="167">
        <f>IF(cal!M43=0,"",cal!M43)</f>
        <v>7.7</v>
      </c>
      <c r="N44" s="168">
        <f>IF(cal!N43=0,"",cal!N43)</f>
        <v>259</v>
      </c>
      <c r="O44" s="164"/>
      <c r="P44" s="168"/>
      <c r="Q44" s="159"/>
      <c r="R44" s="159"/>
      <c r="S44" s="169"/>
      <c r="T44" s="199"/>
      <c r="U44" s="199"/>
    </row>
    <row r="45" spans="2:21" ht="15" customHeight="1" x14ac:dyDescent="0.25">
      <c r="B45" s="110">
        <f>cal!B44</f>
        <v>0.8</v>
      </c>
      <c r="C45" s="111">
        <f>cal!C44</f>
        <v>8</v>
      </c>
      <c r="D45" s="161">
        <f>IF($E$10&lt;=$E$11,"",cal!D44)</f>
        <v>5304.8649617194806</v>
      </c>
      <c r="E45" s="162">
        <f>IF($E$10&lt;=$E$11,"",cal!E44)</f>
        <v>456</v>
      </c>
      <c r="F45" s="163">
        <f>IF($E$10&lt;=$E$11,"",cal!F44)</f>
        <v>4.3882947063228155</v>
      </c>
      <c r="G45" s="164">
        <f>IF($K$10&gt;=$K$11,"",cal!G44)</f>
        <v>893.77309957683349</v>
      </c>
      <c r="H45" s="164">
        <f>IF($K$10&gt;=$K$11,"",cal!H44)</f>
        <v>893.77309957683349</v>
      </c>
      <c r="I45" s="162">
        <f>IF($K$10&gt;=$K$11,"",cal!I44)</f>
        <v>384</v>
      </c>
      <c r="J45" s="353">
        <f>IF($K$10&gt;=$K$11,"",cal!J44)</f>
        <v>3.1950335051176335</v>
      </c>
      <c r="K45" s="165">
        <f>IF(cal!K44=-8,"",cal!K44)</f>
        <v>39</v>
      </c>
      <c r="L45" s="166">
        <f>IF(cal!L44=0,"",cal!L44)</f>
        <v>47</v>
      </c>
      <c r="M45" s="167">
        <f>IF(cal!M44=0,"",cal!M44)</f>
        <v>13.5</v>
      </c>
      <c r="N45" s="168">
        <f>IF(cal!N44=0,"",cal!N44)</f>
        <v>352</v>
      </c>
      <c r="O45" s="164"/>
      <c r="P45" s="168"/>
      <c r="Q45" s="159"/>
      <c r="R45" s="159"/>
      <c r="S45" s="169"/>
      <c r="T45" s="199"/>
      <c r="U45" s="199"/>
    </row>
    <row r="46" spans="2:21" ht="15" customHeight="1" x14ac:dyDescent="0.25">
      <c r="B46" s="110">
        <f>cal!B45</f>
        <v>1</v>
      </c>
      <c r="C46" s="111">
        <f>cal!C45</f>
        <v>10</v>
      </c>
      <c r="D46" s="161">
        <f>IF($E$10&lt;=$E$11,"",cal!D45)</f>
        <v>6342.6875197925201</v>
      </c>
      <c r="E46" s="162">
        <f>IF($E$10&lt;=$E$11,"",cal!E45)</f>
        <v>545</v>
      </c>
      <c r="F46" s="163">
        <f>IF($E$10&lt;=$E$11,"",cal!F45)</f>
        <v>6.0993434733731355</v>
      </c>
      <c r="G46" s="164">
        <f>IF($K$10&gt;=$K$11,"",cal!G45)</f>
        <v>1081.7233361189615</v>
      </c>
      <c r="H46" s="164">
        <f>IF($K$10&gt;=$K$11,"",cal!H45)</f>
        <v>1081.7233361189615</v>
      </c>
      <c r="I46" s="162">
        <f>IF($K$10&gt;=$K$11,"",cal!I45)</f>
        <v>465</v>
      </c>
      <c r="J46" s="353">
        <f>IF($K$10&gt;=$K$11,"",cal!J45)</f>
        <v>4.5495678865252076</v>
      </c>
      <c r="K46" s="165">
        <f>IF(cal!K45=-8,"",cal!K45)</f>
        <v>42</v>
      </c>
      <c r="L46" s="166">
        <f>IF(cal!L45=0,"",cal!L45)</f>
        <v>50</v>
      </c>
      <c r="M46" s="167">
        <f>IF(cal!M45=0,"",cal!M45)</f>
        <v>20.100000000000001</v>
      </c>
      <c r="N46" s="168">
        <f>IF(cal!N45=0,"",cal!N45)</f>
        <v>410</v>
      </c>
      <c r="O46" s="164"/>
      <c r="P46" s="168"/>
      <c r="Q46" s="159"/>
      <c r="R46" s="159"/>
      <c r="S46" s="169"/>
      <c r="T46" s="199"/>
      <c r="U46" s="199"/>
    </row>
    <row r="47" spans="2:21" ht="15" customHeight="1" x14ac:dyDescent="0.25">
      <c r="B47" s="306" t="str">
        <f>IF(cal!$X$16=1,"",IF(cal!$X$16=2,"",cal!B46))</f>
        <v>Clima Canal height 13 cm width 32 cm length 200 cm (Type 6)</v>
      </c>
      <c r="C47" s="307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4"/>
      <c r="Q47" s="159"/>
      <c r="R47" s="159"/>
      <c r="S47" s="160"/>
      <c r="T47" s="199"/>
      <c r="U47" s="199"/>
    </row>
    <row r="48" spans="2:21" ht="15" customHeight="1" x14ac:dyDescent="0.25">
      <c r="B48" s="110">
        <f>cal!B47</f>
        <v>0.2</v>
      </c>
      <c r="C48" s="111">
        <f>cal!C47</f>
        <v>2</v>
      </c>
      <c r="D48" s="161">
        <f>IF($E$10&lt;=$E$11,cal!$AC$3,cal!D47)</f>
        <v>1526.5573511005555</v>
      </c>
      <c r="E48" s="162">
        <f>IF($E$10&lt;=$E$11,"",cal!E47)</f>
        <v>131</v>
      </c>
      <c r="F48" s="163">
        <f>IF($E$10&lt;=$E$11,"",cal!F47)</f>
        <v>0.49942474242827456</v>
      </c>
      <c r="G48" s="164">
        <f>IF($K$10&gt;=$K$11,cal!$AC$3,cal!G47)</f>
        <v>328.49527786542183</v>
      </c>
      <c r="H48" s="164">
        <f>IF($K$10&gt;=$K$11,"",cal!H47)</f>
        <v>328.49527786542183</v>
      </c>
      <c r="I48" s="162">
        <f>IF($K$10&gt;=$K$11,"",cal!I47)</f>
        <v>141</v>
      </c>
      <c r="J48" s="353">
        <f>IF($K$10&gt;=$K$11,"",cal!J47)</f>
        <v>0.57160742723074187</v>
      </c>
      <c r="K48" s="165">
        <f>IF(cal!K47=-8,"",cal!K47)</f>
        <v>23</v>
      </c>
      <c r="L48" s="166">
        <f>IF(cal!L47=0,"",cal!L47)</f>
        <v>31</v>
      </c>
      <c r="M48" s="167">
        <f>IF(cal!M47=0,"",cal!M47)</f>
        <v>2.7</v>
      </c>
      <c r="N48" s="168">
        <f>IF(cal!N47=0,"",cal!N47)</f>
        <v>93</v>
      </c>
      <c r="O48" s="164"/>
      <c r="P48" s="168"/>
      <c r="Q48" s="159"/>
      <c r="R48" s="159"/>
      <c r="S48" s="169"/>
      <c r="T48" s="199"/>
      <c r="U48" s="199"/>
    </row>
    <row r="49" spans="2:21" ht="15" customHeight="1" x14ac:dyDescent="0.25">
      <c r="B49" s="110">
        <f>cal!B48</f>
        <v>0.4</v>
      </c>
      <c r="C49" s="111">
        <f>cal!C48</f>
        <v>4</v>
      </c>
      <c r="D49" s="161">
        <f>IF($E$10&lt;=$E$11,cal!$AC$4,cal!D48)</f>
        <v>3376.2428440753456</v>
      </c>
      <c r="E49" s="162">
        <f>IF($E$10&lt;=$E$11,"",cal!E48)</f>
        <v>290</v>
      </c>
      <c r="F49" s="163">
        <f>IF($E$10&lt;=$E$11,"",cal!F48)</f>
        <v>2.146920988745705</v>
      </c>
      <c r="G49" s="164">
        <f>IF($K$10&gt;=$K$11,cal!$AC$5,cal!G48)</f>
        <v>596.46501011688451</v>
      </c>
      <c r="H49" s="164">
        <f>IF($K$10&gt;=$K$11,"",cal!H48)</f>
        <v>596.46501011688451</v>
      </c>
      <c r="I49" s="162">
        <f>IF($K$10&gt;=$K$11,"",cal!I48)</f>
        <v>256</v>
      </c>
      <c r="J49" s="353">
        <f>IF($K$10&gt;=$K$11,"",cal!J48)</f>
        <v>1.7077725518332227</v>
      </c>
      <c r="K49" s="165">
        <f>IF(cal!K48=-8,"",cal!K48)</f>
        <v>28.5</v>
      </c>
      <c r="L49" s="166">
        <f>IF(cal!L48=0,"",cal!L48)</f>
        <v>36.5</v>
      </c>
      <c r="M49" s="167">
        <f>IF(cal!M48=0,"",cal!M48)</f>
        <v>4.7</v>
      </c>
      <c r="N49" s="168">
        <f>IF(cal!N48=0,"",cal!N48)</f>
        <v>199</v>
      </c>
      <c r="O49" s="164"/>
      <c r="P49" s="168"/>
      <c r="Q49" s="159"/>
      <c r="R49" s="159"/>
      <c r="S49" s="169"/>
      <c r="T49" s="199"/>
      <c r="U49" s="199"/>
    </row>
    <row r="50" spans="2:21" ht="15" customHeight="1" x14ac:dyDescent="0.25">
      <c r="B50" s="110">
        <f>cal!B49</f>
        <v>0.6</v>
      </c>
      <c r="C50" s="111">
        <f>cal!C49</f>
        <v>6</v>
      </c>
      <c r="D50" s="161">
        <f>IF($E$10&lt;=$E$11,"",cal!D49)</f>
        <v>5033.0468762082064</v>
      </c>
      <c r="E50" s="162">
        <f>IF($E$10&lt;=$E$11,"",cal!E49)</f>
        <v>433</v>
      </c>
      <c r="F50" s="163">
        <f>IF($E$10&lt;=$E$11,"",cal!F49)</f>
        <v>4.4801282883913887</v>
      </c>
      <c r="G50" s="164">
        <f>IF($K$10&gt;=$K$11,"",cal!G49)</f>
        <v>851.84024653580707</v>
      </c>
      <c r="H50" s="164">
        <f>IF($K$10&gt;=$K$11,"",cal!H49)</f>
        <v>851.84024653580707</v>
      </c>
      <c r="I50" s="162">
        <f>IF($K$10&gt;=$K$11,"",cal!I49)</f>
        <v>366</v>
      </c>
      <c r="J50" s="353">
        <f>IF($K$10&gt;=$K$11,"",cal!J49)</f>
        <v>3.2909009123245703</v>
      </c>
      <c r="K50" s="165">
        <f>IF(cal!K49=-8,"",cal!K49)</f>
        <v>32.5</v>
      </c>
      <c r="L50" s="166">
        <f>IF(cal!L49=0,"",cal!L49)</f>
        <v>40.5</v>
      </c>
      <c r="M50" s="167">
        <f>IF(cal!M49=0,"",cal!M49)</f>
        <v>8.4</v>
      </c>
      <c r="N50" s="168">
        <f>IF(cal!N49=0,"",cal!N49)</f>
        <v>307</v>
      </c>
      <c r="O50" s="164"/>
      <c r="P50" s="168"/>
      <c r="Q50" s="159"/>
      <c r="R50" s="159"/>
      <c r="S50" s="169"/>
      <c r="T50" s="199"/>
      <c r="U50" s="199"/>
    </row>
    <row r="51" spans="2:21" ht="15" customHeight="1" x14ac:dyDescent="0.25">
      <c r="B51" s="110">
        <f>cal!B50</f>
        <v>0.8</v>
      </c>
      <c r="C51" s="111">
        <f>cal!C50</f>
        <v>8</v>
      </c>
      <c r="D51" s="161">
        <f>IF($E$10&lt;=$E$11,"",cal!D50)</f>
        <v>6496.9694474991384</v>
      </c>
      <c r="E51" s="162">
        <f>IF($E$10&lt;=$E$11,"",cal!E50)</f>
        <v>559</v>
      </c>
      <c r="F51" s="163">
        <f>IF($E$10&lt;=$E$11,"",cal!F50)</f>
        <v>7.1589314623285292</v>
      </c>
      <c r="G51" s="164">
        <f>IF($K$10&gt;=$K$11,"",cal!G50)</f>
        <v>1094.6209871221893</v>
      </c>
      <c r="H51" s="164">
        <f>IF($K$10&gt;=$K$11,"",cal!H50)</f>
        <v>1094.6209871221893</v>
      </c>
      <c r="I51" s="162">
        <f>IF($K$10&gt;=$K$11,"",cal!I50)</f>
        <v>471</v>
      </c>
      <c r="J51" s="353">
        <f>IF($K$10&gt;=$K$11,"",cal!J50)</f>
        <v>5.2279641556402829</v>
      </c>
      <c r="K51" s="165">
        <f>IF(cal!K50=-8,"",cal!K50)</f>
        <v>39.5</v>
      </c>
      <c r="L51" s="166">
        <f>IF(cal!L50=0,"",cal!L50)</f>
        <v>47.5</v>
      </c>
      <c r="M51" s="167">
        <f>IF(cal!M50=0,"",cal!M50)</f>
        <v>15.1</v>
      </c>
      <c r="N51" s="168">
        <f>IF(cal!N50=0,"",cal!N50)</f>
        <v>403</v>
      </c>
      <c r="O51" s="164"/>
      <c r="P51" s="168"/>
      <c r="Q51" s="159"/>
      <c r="R51" s="159"/>
      <c r="S51" s="169"/>
      <c r="T51" s="199"/>
      <c r="U51" s="199"/>
    </row>
    <row r="52" spans="2:21" ht="15" customHeight="1" x14ac:dyDescent="0.25">
      <c r="B52" s="110">
        <f>cal!B51</f>
        <v>1</v>
      </c>
      <c r="C52" s="111">
        <f>cal!C51</f>
        <v>10</v>
      </c>
      <c r="D52" s="161">
        <f>IF($E$10&lt;=$E$11,"",cal!D51)</f>
        <v>7768.0105579481424</v>
      </c>
      <c r="E52" s="162">
        <f>IF($E$10&lt;=$E$11,"",cal!E51)</f>
        <v>668</v>
      </c>
      <c r="F52" s="163">
        <f>IF($E$10&lt;=$E$11,"",cal!F51)</f>
        <v>9.9270675717333354</v>
      </c>
      <c r="G52" s="164">
        <f>IF($K$10&gt;=$K$11,"",cal!G51)</f>
        <v>1324.8072318760314</v>
      </c>
      <c r="H52" s="164">
        <f>IF($K$10&gt;=$K$11,"",cal!H51)</f>
        <v>1324.8072318760314</v>
      </c>
      <c r="I52" s="162">
        <f>IF($K$10&gt;=$K$11,"",cal!I51)</f>
        <v>570</v>
      </c>
      <c r="J52" s="353">
        <f>IF($K$10&gt;=$K$11,"",cal!J51)</f>
        <v>7.4195717949358544</v>
      </c>
      <c r="K52" s="165">
        <f>IF(cal!K51=-8,"",cal!K51)</f>
        <v>42.5</v>
      </c>
      <c r="L52" s="166">
        <f>IF(cal!L51=0,"",cal!L51)</f>
        <v>50.5</v>
      </c>
      <c r="M52" s="167">
        <f>IF(cal!M51=0,"",cal!M51)</f>
        <v>23.2</v>
      </c>
      <c r="N52" s="168">
        <f>IF(cal!N51=0,"",cal!N51)</f>
        <v>475</v>
      </c>
      <c r="O52" s="164"/>
      <c r="P52" s="168"/>
      <c r="Q52" s="159"/>
      <c r="R52" s="159"/>
      <c r="S52" s="169"/>
      <c r="T52" s="199"/>
      <c r="U52" s="199"/>
    </row>
    <row r="53" spans="2:21" ht="15" customHeight="1" x14ac:dyDescent="0.25">
      <c r="B53" s="306" t="str">
        <f>IF(cal!$X$16=1,"",IF(cal!$X$16=2,"",cal!B52))</f>
        <v>Clima Canal height 13 cm width 32 cm length 230 cm (Type 7)</v>
      </c>
      <c r="C53" s="307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4"/>
      <c r="Q53" s="159"/>
      <c r="R53" s="159"/>
      <c r="S53" s="160"/>
      <c r="T53" s="199"/>
      <c r="U53" s="199"/>
    </row>
    <row r="54" spans="2:21" ht="15" customHeight="1" x14ac:dyDescent="0.25">
      <c r="B54" s="110">
        <f>cal!B53</f>
        <v>0.2</v>
      </c>
      <c r="C54" s="111">
        <f>cal!C53</f>
        <v>2</v>
      </c>
      <c r="D54" s="161">
        <f>IF($E$10&lt;=$E$11,cal!$AC$3,cal!D53)</f>
        <v>1806.6596173575381</v>
      </c>
      <c r="E54" s="162">
        <f>IF($E$10&lt;=$E$11,"",cal!E53)</f>
        <v>155</v>
      </c>
      <c r="F54" s="163">
        <f>IF($E$10&lt;=$E$11,"",cal!F53)</f>
        <v>0.76255728107698928</v>
      </c>
      <c r="G54" s="164">
        <f>IF($K$10&gt;=$K$11,cal!$AC$3,cal!G53)</f>
        <v>388.76964077650842</v>
      </c>
      <c r="H54" s="164">
        <f>IF($K$10&gt;=$K$11,"",cal!H53)</f>
        <v>388.76964077650842</v>
      </c>
      <c r="I54" s="162">
        <f>IF($K$10&gt;=$K$11,"",cal!I53)</f>
        <v>167</v>
      </c>
      <c r="J54" s="353">
        <f>IF($K$10&gt;=$K$11,"",cal!J53)</f>
        <v>0.87374806690251738</v>
      </c>
      <c r="K54" s="165">
        <f>IF(cal!K53=-8,"",cal!K53)</f>
        <v>23</v>
      </c>
      <c r="L54" s="166">
        <f>IF(cal!L53=0,"",cal!L53)</f>
        <v>31</v>
      </c>
      <c r="M54" s="167">
        <f>IF(cal!M53=0,"",cal!M53)</f>
        <v>3.4</v>
      </c>
      <c r="N54" s="168">
        <f>IF(cal!N53=0,"",cal!N53)</f>
        <v>98</v>
      </c>
      <c r="O54" s="164"/>
      <c r="P54" s="168"/>
      <c r="Q54" s="159"/>
      <c r="R54" s="159"/>
      <c r="S54" s="169"/>
      <c r="T54" s="199"/>
      <c r="U54" s="199"/>
    </row>
    <row r="55" spans="2:21" ht="15" customHeight="1" x14ac:dyDescent="0.25">
      <c r="B55" s="110">
        <f>cal!B54</f>
        <v>0.4</v>
      </c>
      <c r="C55" s="111">
        <f>cal!C54</f>
        <v>4</v>
      </c>
      <c r="D55" s="161">
        <f>IF($E$10&lt;=$E$11,cal!$AC$4,cal!D54)</f>
        <v>3995.7369439056843</v>
      </c>
      <c r="E55" s="162">
        <f>IF($E$10&lt;=$E$11,"",cal!E54)</f>
        <v>344</v>
      </c>
      <c r="F55" s="163">
        <f>IF($E$10&lt;=$E$11,"",cal!F54)</f>
        <v>3.2678319097682533</v>
      </c>
      <c r="G55" s="164">
        <f>IF($K$10&gt;=$K$11,cal!$AC$5,cal!G54)</f>
        <v>705.90813123924863</v>
      </c>
      <c r="H55" s="164">
        <f>IF($K$10&gt;=$K$11,"",cal!H54)</f>
        <v>705.90813123924863</v>
      </c>
      <c r="I55" s="162">
        <f>IF($K$10&gt;=$K$11,"",cal!I54)</f>
        <v>303</v>
      </c>
      <c r="J55" s="353">
        <f>IF($K$10&gt;=$K$11,"",cal!J54)</f>
        <v>2.5921116263594941</v>
      </c>
      <c r="K55" s="165">
        <f>IF(cal!K54=-8,"",cal!K54)</f>
        <v>29</v>
      </c>
      <c r="L55" s="166">
        <f>IF(cal!L54=0,"",cal!L54)</f>
        <v>37</v>
      </c>
      <c r="M55" s="167">
        <f>IF(cal!M54=0,"",cal!M54)</f>
        <v>5.8</v>
      </c>
      <c r="N55" s="168">
        <f>IF(cal!N54=0,"",cal!N54)</f>
        <v>228</v>
      </c>
      <c r="O55" s="164"/>
      <c r="P55" s="168"/>
      <c r="Q55" s="159"/>
      <c r="R55" s="159"/>
      <c r="S55" s="169"/>
      <c r="T55" s="199"/>
      <c r="U55" s="199"/>
    </row>
    <row r="56" spans="2:21" ht="15" customHeight="1" x14ac:dyDescent="0.25">
      <c r="B56" s="110">
        <f>cal!B55</f>
        <v>0.6</v>
      </c>
      <c r="C56" s="111">
        <f>cal!C55</f>
        <v>6</v>
      </c>
      <c r="D56" s="161">
        <f>IF($E$10&lt;=$E$11,"",cal!D55)</f>
        <v>5956.5417158794371</v>
      </c>
      <c r="E56" s="162">
        <f>IF($E$10&lt;=$E$11,"",cal!E55)</f>
        <v>512</v>
      </c>
      <c r="F56" s="163">
        <f>IF($E$10&lt;=$E$11,"",cal!F55)</f>
        <v>6.7533584478058071</v>
      </c>
      <c r="G56" s="164">
        <f>IF($K$10&gt;=$K$11,"",cal!G55)</f>
        <v>1008.1412092029277</v>
      </c>
      <c r="H56" s="164">
        <f>IF($K$10&gt;=$K$11,"",cal!H55)</f>
        <v>1008.1412092029277</v>
      </c>
      <c r="I56" s="162">
        <f>IF($K$10&gt;=$K$11,"",cal!I55)</f>
        <v>433</v>
      </c>
      <c r="J56" s="353">
        <f>IF($K$10&gt;=$K$11,"",cal!J55)</f>
        <v>4.9735511286409029</v>
      </c>
      <c r="K56" s="165">
        <f>IF(cal!K55=-8,"",cal!K55)</f>
        <v>33</v>
      </c>
      <c r="L56" s="166">
        <f>IF(cal!L55=0,"",cal!L55)</f>
        <v>41</v>
      </c>
      <c r="M56" s="167">
        <f>IF(cal!M55=0,"",cal!M55)</f>
        <v>10.1</v>
      </c>
      <c r="N56" s="168">
        <f>IF(cal!N55=0,"",cal!N55)</f>
        <v>348</v>
      </c>
      <c r="O56" s="164"/>
      <c r="P56" s="168"/>
      <c r="Q56" s="159"/>
      <c r="R56" s="159"/>
      <c r="S56" s="169"/>
      <c r="T56" s="199"/>
      <c r="U56" s="199"/>
    </row>
    <row r="57" spans="2:21" ht="15" customHeight="1" x14ac:dyDescent="0.25">
      <c r="B57" s="110">
        <f>cal!B56</f>
        <v>0.8</v>
      </c>
      <c r="C57" s="111">
        <f>cal!C56</f>
        <v>8</v>
      </c>
      <c r="D57" s="161">
        <f>IF($E$10&lt;=$E$11,"",cal!D56)</f>
        <v>7689.0739332787971</v>
      </c>
      <c r="E57" s="162">
        <f>IF($E$10&lt;=$E$11,"",cal!E56)</f>
        <v>661</v>
      </c>
      <c r="F57" s="163">
        <f>IF($E$10&lt;=$E$11,"",cal!F56)</f>
        <v>10.764883466888408</v>
      </c>
      <c r="G57" s="164">
        <f>IF($K$10&gt;=$K$11,"",cal!G56)</f>
        <v>1295.4688746675452</v>
      </c>
      <c r="H57" s="164">
        <f>IF($K$10&gt;=$K$11,"",cal!H56)</f>
        <v>1295.4688746675452</v>
      </c>
      <c r="I57" s="162">
        <f>IF($K$10&gt;=$K$11,"",cal!I56)</f>
        <v>557</v>
      </c>
      <c r="J57" s="353">
        <f>IF($K$10&gt;=$K$11,"",cal!J56)</f>
        <v>7.875912748834125</v>
      </c>
      <c r="K57" s="165">
        <f>IF(cal!K56=-8,"",cal!K56)</f>
        <v>40</v>
      </c>
      <c r="L57" s="166">
        <f>IF(cal!L56=0,"",cal!L56)</f>
        <v>48</v>
      </c>
      <c r="M57" s="167">
        <f>IF(cal!M56=0,"",cal!M56)</f>
        <v>17.5</v>
      </c>
      <c r="N57" s="168">
        <f>IF(cal!N56=0,"",cal!N56)</f>
        <v>470</v>
      </c>
      <c r="O57" s="164"/>
      <c r="P57" s="168"/>
      <c r="Q57" s="159"/>
      <c r="R57" s="159"/>
      <c r="S57" s="169"/>
      <c r="T57" s="199"/>
      <c r="U57" s="199"/>
    </row>
    <row r="58" spans="2:21" ht="15" customHeight="1" x14ac:dyDescent="0.25">
      <c r="B58" s="110">
        <f>cal!B57</f>
        <v>1</v>
      </c>
      <c r="C58" s="111">
        <f>cal!C57</f>
        <v>10</v>
      </c>
      <c r="D58" s="161">
        <f>IF($E$10&lt;=$E$11,"",cal!D57)</f>
        <v>9193.3335961037646</v>
      </c>
      <c r="E58" s="162">
        <f>IF($E$10&lt;=$E$11,"",cal!E57)</f>
        <v>790</v>
      </c>
      <c r="F58" s="163">
        <f>IF($E$10&lt;=$E$11,"",cal!F57)</f>
        <v>14.905231059418846</v>
      </c>
      <c r="G58" s="164">
        <f>IF($K$10&gt;=$K$11,"",cal!G57)</f>
        <v>1567.8911276331014</v>
      </c>
      <c r="H58" s="164">
        <f>IF($K$10&gt;=$K$11,"",cal!H57)</f>
        <v>1567.8911276331014</v>
      </c>
      <c r="I58" s="162">
        <f>IF($K$10&gt;=$K$11,"",cal!I57)</f>
        <v>674</v>
      </c>
      <c r="J58" s="353">
        <f>IF($K$10&gt;=$K$11,"",cal!J57)</f>
        <v>11.154471439461101</v>
      </c>
      <c r="K58" s="165">
        <f>IF(cal!K57=-8,"",cal!K57)</f>
        <v>43</v>
      </c>
      <c r="L58" s="166">
        <f>IF(cal!L57=0,"",cal!L57)</f>
        <v>51</v>
      </c>
      <c r="M58" s="167">
        <f>IF(cal!M57=0,"",cal!M57)</f>
        <v>25</v>
      </c>
      <c r="N58" s="168">
        <f>IF(cal!N57=0,"",cal!N57)</f>
        <v>546</v>
      </c>
      <c r="O58" s="164"/>
      <c r="P58" s="168"/>
      <c r="Q58" s="159"/>
      <c r="R58" s="159"/>
      <c r="S58" s="169"/>
      <c r="T58" s="199"/>
      <c r="U58" s="199"/>
    </row>
    <row r="59" spans="2:21" ht="15" customHeight="1" x14ac:dyDescent="0.25">
      <c r="B59" s="306" t="str">
        <f>IF(cal!$X$16=1,"",IF(cal!$X$16=2,"",cal!B58))</f>
        <v>Clima Canal height 13 cm width 32 cm length 280 cm (Type 8)</v>
      </c>
      <c r="C59" s="307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4"/>
      <c r="Q59" s="159"/>
      <c r="R59" s="159"/>
      <c r="S59" s="169"/>
      <c r="T59" s="199"/>
      <c r="U59" s="199"/>
    </row>
    <row r="60" spans="2:21" ht="15" customHeight="1" x14ac:dyDescent="0.25">
      <c r="B60" s="110">
        <f>cal!B59</f>
        <v>0.2</v>
      </c>
      <c r="C60" s="111">
        <f>cal!C59</f>
        <v>2</v>
      </c>
      <c r="D60" s="161">
        <f>IF($E$10&lt;=$E$11,cal!$AC$3,cal!D59)</f>
        <v>2273.4967277858427</v>
      </c>
      <c r="E60" s="162">
        <f>IF($E$10&lt;=$E$11,"",cal!E59)</f>
        <v>195</v>
      </c>
      <c r="F60" s="163">
        <f>IF($E$10&lt;=$E$11,"",cal!F59)</f>
        <v>1.4135103689709119</v>
      </c>
      <c r="G60" s="164">
        <f>IF($K$10&gt;=$K$11,cal!$AC$3,cal!G59)</f>
        <v>489.22691229498605</v>
      </c>
      <c r="H60" s="164">
        <f>IF($K$10&gt;=$K$11,"",cal!H59)</f>
        <v>489.22691229498605</v>
      </c>
      <c r="I60" s="162">
        <f>IF($K$10&gt;=$K$11,"",cal!I59)</f>
        <v>210</v>
      </c>
      <c r="J60" s="353">
        <f>IF($K$10&gt;=$K$11,"",cal!J59)</f>
        <v>1.5629942205059051</v>
      </c>
      <c r="K60" s="165">
        <f>IF(cal!K59=-8,"",cal!K59)</f>
        <v>24</v>
      </c>
      <c r="L60" s="166">
        <f>IF(cal!L59=0,"",cal!L59)</f>
        <v>32</v>
      </c>
      <c r="M60" s="167">
        <f>IF(cal!M59=0,"",cal!M59)</f>
        <v>4.0999999999999996</v>
      </c>
      <c r="N60" s="168">
        <f>IF(cal!N59=0,"",cal!N59)</f>
        <v>133</v>
      </c>
      <c r="O60" s="164"/>
      <c r="P60" s="168"/>
      <c r="Q60" s="159"/>
      <c r="R60" s="159"/>
      <c r="S60" s="169"/>
      <c r="T60" s="199"/>
      <c r="U60" s="199"/>
    </row>
    <row r="61" spans="2:21" ht="15" customHeight="1" x14ac:dyDescent="0.25">
      <c r="B61" s="110">
        <f>cal!B60</f>
        <v>0.4</v>
      </c>
      <c r="C61" s="111">
        <f>cal!C60</f>
        <v>4</v>
      </c>
      <c r="D61" s="161">
        <f>IF($E$10&lt;=$E$11,cal!$AC$4,cal!D60)</f>
        <v>5028.227110289582</v>
      </c>
      <c r="E61" s="162">
        <f>IF($E$10&lt;=$E$11,"",cal!E60)</f>
        <v>432</v>
      </c>
      <c r="F61" s="163">
        <f>IF($E$10&lt;=$E$11,"",cal!F60)</f>
        <v>5.9660893060532398</v>
      </c>
      <c r="G61" s="164">
        <f>IF($K$10&gt;=$K$11,cal!$AC$5,cal!G60)</f>
        <v>888.31333310985553</v>
      </c>
      <c r="H61" s="164">
        <f>IF($K$10&gt;=$K$11,"",cal!H60)</f>
        <v>888.31333310985553</v>
      </c>
      <c r="I61" s="162">
        <f>IF($K$10&gt;=$K$11,"",cal!I60)</f>
        <v>382</v>
      </c>
      <c r="J61" s="353">
        <f>IF($K$10&gt;=$K$11,"",cal!J60)</f>
        <v>4.6212966971296909</v>
      </c>
      <c r="K61" s="165">
        <f>IF(cal!K60=-8,"",cal!K60)</f>
        <v>29.5</v>
      </c>
      <c r="L61" s="166">
        <f>IF(cal!L60=0,"",cal!L60)</f>
        <v>37.5</v>
      </c>
      <c r="M61" s="167">
        <f>IF(cal!M60=0,"",cal!M60)</f>
        <v>7.1</v>
      </c>
      <c r="N61" s="168">
        <f>IF(cal!N60=0,"",cal!N60)</f>
        <v>272</v>
      </c>
      <c r="O61" s="164"/>
      <c r="P61" s="168"/>
      <c r="Q61" s="159"/>
      <c r="R61" s="159"/>
      <c r="S61" s="169"/>
      <c r="T61" s="199"/>
      <c r="U61" s="199"/>
    </row>
    <row r="62" spans="2:21" ht="15" customHeight="1" x14ac:dyDescent="0.25">
      <c r="B62" s="110">
        <f>cal!B61</f>
        <v>0.6</v>
      </c>
      <c r="C62" s="111">
        <f>cal!C61</f>
        <v>6</v>
      </c>
      <c r="D62" s="161">
        <f>IF($E$10&lt;=$E$11,"",cal!D61)</f>
        <v>7495.6997819981552</v>
      </c>
      <c r="E62" s="162">
        <f>IF($E$10&lt;=$E$11,"",cal!E61)</f>
        <v>645</v>
      </c>
      <c r="F62" s="163">
        <f>IF($E$10&lt;=$E$11,"",cal!F61)</f>
        <v>12.326269528637294</v>
      </c>
      <c r="G62" s="164">
        <f>IF($K$10&gt;=$K$11,"",cal!G61)</f>
        <v>1268.6428136481286</v>
      </c>
      <c r="H62" s="164">
        <f>IF($K$10&gt;=$K$11,"",cal!H61)</f>
        <v>1268.6428136481286</v>
      </c>
      <c r="I62" s="162">
        <f>IF($K$10&gt;=$K$11,"",cal!I61)</f>
        <v>545</v>
      </c>
      <c r="J62" s="353">
        <f>IF($K$10&gt;=$K$11,"",cal!J61)</f>
        <v>8.7982663478166856</v>
      </c>
      <c r="K62" s="165">
        <f>IF(cal!K61=-8,"",cal!K61)</f>
        <v>34</v>
      </c>
      <c r="L62" s="166">
        <f>IF(cal!L61=0,"",cal!L61)</f>
        <v>42</v>
      </c>
      <c r="M62" s="167">
        <f>IF(cal!M61=0,"",cal!M61)</f>
        <v>12.7</v>
      </c>
      <c r="N62" s="168">
        <f>IF(cal!N61=0,"",cal!N61)</f>
        <v>433</v>
      </c>
      <c r="O62" s="164"/>
      <c r="P62" s="168"/>
      <c r="Q62" s="159"/>
      <c r="R62" s="159"/>
      <c r="S62" s="169"/>
      <c r="T62" s="199"/>
      <c r="U62" s="199"/>
    </row>
    <row r="63" spans="2:21" ht="15" customHeight="1" x14ac:dyDescent="0.25">
      <c r="B63" s="110">
        <f>cal!B62</f>
        <v>0.8</v>
      </c>
      <c r="C63" s="111">
        <f>cal!C62</f>
        <v>8</v>
      </c>
      <c r="D63" s="161">
        <f>IF($E$10&lt;=$E$11,"",cal!D62)</f>
        <v>9675.9147429115619</v>
      </c>
      <c r="E63" s="162">
        <f>IF($E$10&lt;=$E$11,"",cal!E62)</f>
        <v>832</v>
      </c>
      <c r="F63" s="163">
        <f>IF($E$10&lt;=$E$11,"",cal!F62)</f>
        <v>19.543066305604253</v>
      </c>
      <c r="G63" s="164">
        <f>IF($K$10&gt;=$K$11,"",cal!G62)</f>
        <v>1630.2153539098049</v>
      </c>
      <c r="H63" s="164">
        <f>IF($K$10&gt;=$K$11,"",cal!H62)</f>
        <v>1630.2153539098049</v>
      </c>
      <c r="I63" s="162">
        <f>IF($K$10&gt;=$K$11,"",cal!I62)</f>
        <v>701</v>
      </c>
      <c r="J63" s="353">
        <f>IF($K$10&gt;=$K$11,"",cal!J62)</f>
        <v>13.882723091543138</v>
      </c>
      <c r="K63" s="165">
        <f>IF(cal!K62=-8,"",cal!K62)</f>
        <v>41</v>
      </c>
      <c r="L63" s="166">
        <f>IF(cal!L62=0,"",cal!L62)</f>
        <v>49</v>
      </c>
      <c r="M63" s="167">
        <f>IF(cal!M62=0,"",cal!M62)</f>
        <v>22.2</v>
      </c>
      <c r="N63" s="168">
        <f>IF(cal!N62=0,"",cal!N62)</f>
        <v>587</v>
      </c>
      <c r="O63" s="164"/>
      <c r="P63" s="168"/>
      <c r="Q63" s="159"/>
      <c r="R63" s="159"/>
      <c r="S63" s="169"/>
      <c r="T63" s="199"/>
      <c r="U63" s="199"/>
    </row>
    <row r="64" spans="2:21" ht="15" customHeight="1" x14ac:dyDescent="0.25">
      <c r="B64" s="110">
        <f>cal!B63</f>
        <v>1</v>
      </c>
      <c r="C64" s="111">
        <f>cal!C63</f>
        <v>10</v>
      </c>
      <c r="D64" s="161">
        <f>IF($E$10&lt;=$E$11,"",cal!D63)</f>
        <v>11568.871993029803</v>
      </c>
      <c r="E64" s="162">
        <f>IF($E$10&lt;=$E$11,"",cal!E63)</f>
        <v>995</v>
      </c>
      <c r="F64" s="163">
        <f>IF($E$10&lt;=$E$11,"",cal!F63)</f>
        <v>27.018299401107992</v>
      </c>
      <c r="G64" s="164">
        <f>IF($K$10&gt;=$K$11,"",cal!G63)</f>
        <v>1973.0309538948848</v>
      </c>
      <c r="H64" s="164">
        <f>IF($K$10&gt;=$K$11,"",cal!H63)</f>
        <v>1973.0309538948848</v>
      </c>
      <c r="I64" s="162">
        <f>IF($K$10&gt;=$K$11,"",cal!I63)</f>
        <v>848</v>
      </c>
      <c r="J64" s="353">
        <f>IF($K$10&gt;=$K$11,"",cal!J63)</f>
        <v>19.600946455549366</v>
      </c>
      <c r="K64" s="165">
        <f>IF(cal!K63=-8,"",cal!K63)</f>
        <v>44</v>
      </c>
      <c r="L64" s="166">
        <f>IF(cal!L63=0,"",cal!L63)</f>
        <v>52</v>
      </c>
      <c r="M64" s="167">
        <f>IF(cal!M63=0,"",cal!M63)</f>
        <v>32.5</v>
      </c>
      <c r="N64" s="168">
        <f>IF(cal!N63=0,"",cal!N63)</f>
        <v>683</v>
      </c>
      <c r="O64" s="164"/>
      <c r="P64" s="168"/>
      <c r="Q64" s="159"/>
      <c r="R64" s="159"/>
      <c r="S64" s="169"/>
      <c r="T64" s="199"/>
      <c r="U64" s="199"/>
    </row>
    <row r="65" spans="2:21" ht="15" customHeight="1" x14ac:dyDescent="0.25">
      <c r="B65" s="306" t="str">
        <f>IF(cal!$X$16=1,"",IF(cal!$X$16=2,"",cal!B64))</f>
        <v>Clima Canal height 13 cm width 32 cm length 300 cm (Type 9)</v>
      </c>
      <c r="C65" s="307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4"/>
      <c r="Q65" s="159"/>
      <c r="R65" s="159"/>
      <c r="S65" s="160"/>
      <c r="T65" s="199"/>
      <c r="U65" s="199"/>
    </row>
    <row r="66" spans="2:21" ht="15" customHeight="1" x14ac:dyDescent="0.25">
      <c r="B66" s="110">
        <f>cal!B65</f>
        <v>0.2</v>
      </c>
      <c r="C66" s="111">
        <f>cal!C65</f>
        <v>2</v>
      </c>
      <c r="D66" s="161">
        <f>IF($E$10&lt;=$E$11,cal!$AC$3,cal!D65)</f>
        <v>2460.2200000000003</v>
      </c>
      <c r="E66" s="162">
        <f>IF($E$10&lt;=$E$11,"",cal!E65)</f>
        <v>212</v>
      </c>
      <c r="F66" s="163">
        <f>IF($E$10&lt;=$E$11,"",cal!F65)</f>
        <v>1.6444387112676684</v>
      </c>
      <c r="G66" s="164">
        <f>IF($K$10&gt;=$K$11,cal!$AC$3,cal!G65)</f>
        <v>529.39599999999996</v>
      </c>
      <c r="H66" s="164">
        <f>IF($K$10&gt;=$K$11,"",cal!H65)</f>
        <v>529.39599999999996</v>
      </c>
      <c r="I66" s="162">
        <f>IF($K$10&gt;=$K$11,"",cal!I65)</f>
        <v>228</v>
      </c>
      <c r="J66" s="353">
        <f>IF($K$10&gt;=$K$11,"",cal!J65)</f>
        <v>1.87595988904386</v>
      </c>
      <c r="K66" s="165">
        <f>IF(cal!K65=-8,"",cal!K65)</f>
        <v>25</v>
      </c>
      <c r="L66" s="166">
        <f>IF(cal!L65=0,"",cal!L65)</f>
        <v>33</v>
      </c>
      <c r="M66" s="167">
        <f>IF(cal!M65=0,"",cal!M65)</f>
        <v>4.4000000000000004</v>
      </c>
      <c r="N66" s="168">
        <f>IF(cal!N65=0,"",cal!N65)</f>
        <v>142</v>
      </c>
      <c r="O66" s="164"/>
      <c r="P66" s="168"/>
      <c r="Q66" s="159"/>
      <c r="R66" s="159"/>
      <c r="S66" s="169"/>
      <c r="T66" s="199"/>
      <c r="U66" s="199"/>
    </row>
    <row r="67" spans="2:21" ht="15" customHeight="1" x14ac:dyDescent="0.25">
      <c r="B67" s="110">
        <f>cal!B66</f>
        <v>0.4</v>
      </c>
      <c r="C67" s="111">
        <f>cal!C66</f>
        <v>4</v>
      </c>
      <c r="D67" s="161">
        <f>IF($E$10&lt;=$E$11,cal!$AC$4,cal!D66)</f>
        <v>5441.28</v>
      </c>
      <c r="E67" s="162">
        <f>IF($E$10&lt;=$E$11,"",cal!E66)</f>
        <v>468</v>
      </c>
      <c r="F67" s="163">
        <f>IF($E$10&lt;=$E$11,"",cal!F66)</f>
        <v>6.8963933485591324</v>
      </c>
      <c r="G67" s="164">
        <f>IF($K$10&gt;=$K$11,cal!$AC$5,cal!G66)</f>
        <v>961.2700000000001</v>
      </c>
      <c r="H67" s="164">
        <f>IF($K$10&gt;=$K$11,"",cal!H66)</f>
        <v>961.2700000000001</v>
      </c>
      <c r="I67" s="162">
        <f>IF($K$10&gt;=$K$11,"",cal!I66)</f>
        <v>413</v>
      </c>
      <c r="J67" s="353">
        <f>IF($K$10&gt;=$K$11,"",cal!J66)</f>
        <v>5.499542141797976</v>
      </c>
      <c r="K67" s="165">
        <f>IF(cal!K66=-8,"",cal!K66)</f>
        <v>31</v>
      </c>
      <c r="L67" s="166">
        <f>IF(cal!L66=0,"",cal!L66)</f>
        <v>39</v>
      </c>
      <c r="M67" s="167">
        <f>IF(cal!M66=0,"",cal!M66)</f>
        <v>7.5</v>
      </c>
      <c r="N67" s="168">
        <f>IF(cal!N66=0,"",cal!N66)</f>
        <v>313</v>
      </c>
      <c r="O67" s="164"/>
      <c r="P67" s="168"/>
      <c r="Q67" s="159"/>
      <c r="R67" s="159"/>
      <c r="S67" s="169"/>
      <c r="T67" s="199"/>
      <c r="U67" s="199"/>
    </row>
    <row r="68" spans="2:21" ht="15" customHeight="1" x14ac:dyDescent="0.25">
      <c r="B68" s="110">
        <f>cal!B67</f>
        <v>0.6</v>
      </c>
      <c r="C68" s="111">
        <f>cal!C67</f>
        <v>6</v>
      </c>
      <c r="D68" s="161">
        <f>IF($E$10&lt;=$E$11,"",cal!D67)</f>
        <v>8111.2999999999993</v>
      </c>
      <c r="E68" s="162">
        <f>IF($E$10&lt;=$E$11,"",cal!E67)</f>
        <v>697</v>
      </c>
      <c r="F68" s="163">
        <f>IF($E$10&lt;=$E$11,"",cal!F67)</f>
        <v>14.183792323153156</v>
      </c>
      <c r="G68" s="164">
        <f>IF($K$10&gt;=$K$11,"",cal!G67)</f>
        <v>1372.83</v>
      </c>
      <c r="H68" s="164">
        <f>IF($K$10&gt;=$K$11,"",cal!H67)</f>
        <v>1372.83</v>
      </c>
      <c r="I68" s="162">
        <f>IF($K$10&gt;=$K$11,"",cal!I67)</f>
        <v>590</v>
      </c>
      <c r="J68" s="353">
        <f>IF($K$10&gt;=$K$11,"",cal!J67)</f>
        <v>10.489538845374183</v>
      </c>
      <c r="K68" s="165">
        <f>IF(cal!K67=-8,"",cal!K67)</f>
        <v>35</v>
      </c>
      <c r="L68" s="166">
        <f>IF(cal!L67=0,"",cal!L67)</f>
        <v>43</v>
      </c>
      <c r="M68" s="167">
        <f>IF(cal!M67=0,"",cal!M67)</f>
        <v>13.4</v>
      </c>
      <c r="N68" s="168">
        <f>IF(cal!N67=0,"",cal!N67)</f>
        <v>481</v>
      </c>
      <c r="O68" s="164"/>
      <c r="P68" s="168"/>
      <c r="Q68" s="159"/>
      <c r="R68" s="159"/>
      <c r="S68" s="169"/>
      <c r="T68" s="199"/>
      <c r="U68" s="199"/>
    </row>
    <row r="69" spans="2:21" ht="15" customHeight="1" x14ac:dyDescent="0.25">
      <c r="B69" s="110">
        <f>cal!B68</f>
        <v>0.8</v>
      </c>
      <c r="C69" s="111">
        <f>cal!C68</f>
        <v>8</v>
      </c>
      <c r="D69" s="161">
        <f>IF($E$10&lt;=$E$11,"",cal!D68)</f>
        <v>10470.700000000001</v>
      </c>
      <c r="E69" s="162">
        <f>IF($E$10&lt;=$E$11,"",cal!E68)</f>
        <v>900</v>
      </c>
      <c r="F69" s="163">
        <f>IF($E$10&lt;=$E$11,"",cal!F68)</f>
        <v>22.529992704647441</v>
      </c>
      <c r="G69" s="164">
        <f>IF($K$10&gt;=$K$11,"",cal!G68)</f>
        <v>1764.1099999999997</v>
      </c>
      <c r="H69" s="164">
        <f>IF($K$10&gt;=$K$11,"",cal!H68)</f>
        <v>1764.1099999999997</v>
      </c>
      <c r="I69" s="162">
        <f>IF($K$10&gt;=$K$11,"",cal!I68)</f>
        <v>758</v>
      </c>
      <c r="J69" s="353">
        <f>IF($K$10&gt;=$K$11,"",cal!J68)</f>
        <v>16.510330960991837</v>
      </c>
      <c r="K69" s="165">
        <f>IF(cal!K68=-8,"",cal!K68)</f>
        <v>42</v>
      </c>
      <c r="L69" s="166">
        <f>IF(cal!L68=0,"",cal!L68)</f>
        <v>50</v>
      </c>
      <c r="M69" s="167">
        <f>IF(cal!M68=0,"",cal!M68)</f>
        <v>23.9</v>
      </c>
      <c r="N69" s="168">
        <f>IF(cal!N68=0,"",cal!N68)</f>
        <v>638</v>
      </c>
      <c r="O69" s="164"/>
      <c r="P69" s="168"/>
      <c r="Q69" s="159"/>
      <c r="R69" s="159"/>
      <c r="S69" s="169"/>
      <c r="T69" s="199"/>
      <c r="U69" s="199"/>
    </row>
    <row r="70" spans="2:21" ht="15" customHeight="1" x14ac:dyDescent="0.25">
      <c r="B70" s="110">
        <f>cal!B69</f>
        <v>1</v>
      </c>
      <c r="C70" s="111">
        <f>cal!C69</f>
        <v>10</v>
      </c>
      <c r="D70" s="161">
        <f>IF($E$10&lt;=$E$11,"",cal!D69)</f>
        <v>12519.2</v>
      </c>
      <c r="E70" s="162">
        <f>IF($E$10&lt;=$E$11,"",cal!E69)</f>
        <v>1076</v>
      </c>
      <c r="F70" s="163">
        <f>IF($E$10&lt;=$E$11,"",cal!F69)</f>
        <v>31.130853015257792</v>
      </c>
      <c r="G70" s="164">
        <f>IF($K$10&gt;=$K$11,"",cal!G69)</f>
        <v>2135.09</v>
      </c>
      <c r="H70" s="164">
        <f>IF($K$10&gt;=$K$11,"",cal!H69)</f>
        <v>2135.09</v>
      </c>
      <c r="I70" s="162">
        <f>IF($K$10&gt;=$K$11,"",cal!I69)</f>
        <v>918</v>
      </c>
      <c r="J70" s="353">
        <f>IF($K$10&gt;=$K$11,"",cal!J69)</f>
        <v>23.35234746783593</v>
      </c>
      <c r="K70" s="165">
        <f>IF(cal!K69=-8,"",cal!K69)</f>
        <v>45</v>
      </c>
      <c r="L70" s="166">
        <f>IF(cal!L69=0,"",cal!L69)</f>
        <v>53</v>
      </c>
      <c r="M70" s="167">
        <f>IF(cal!M69=0,"",cal!M69)</f>
        <v>35.6</v>
      </c>
      <c r="N70" s="168">
        <f>IF(cal!N69=0,"",cal!N69)</f>
        <v>748</v>
      </c>
      <c r="O70" s="164"/>
      <c r="P70" s="168"/>
      <c r="Q70" s="159"/>
      <c r="R70" s="159"/>
      <c r="S70" s="169"/>
      <c r="T70" s="199"/>
      <c r="U70" s="199"/>
    </row>
    <row r="71" spans="2:21" ht="9.4" customHeight="1" x14ac:dyDescent="0.25">
      <c r="B71" s="241" t="str">
        <f>cal!B70</f>
        <v>*Values according to EN 16430</v>
      </c>
      <c r="C71" s="242"/>
      <c r="D71" s="242"/>
      <c r="E71" s="242"/>
      <c r="F71" s="242"/>
      <c r="G71" s="242"/>
      <c r="H71" s="242"/>
      <c r="I71" s="242"/>
      <c r="J71" s="242"/>
      <c r="K71" s="242"/>
      <c r="L71" s="242"/>
      <c r="M71" s="242"/>
      <c r="N71" s="242"/>
      <c r="O71" s="243"/>
      <c r="P71" s="243" t="s">
        <v>244</v>
      </c>
      <c r="S71" s="109"/>
    </row>
    <row r="72" spans="2:21" ht="9.4" customHeight="1" x14ac:dyDescent="0.25">
      <c r="B72" s="112" t="str">
        <f>cal!B71</f>
        <v>**Sound power according to ISO 3741:2010</v>
      </c>
    </row>
    <row r="73" spans="2:21" ht="9" customHeight="1" x14ac:dyDescent="0.25">
      <c r="B73" s="112" t="str">
        <f>cal!B72</f>
        <v>***Sound pressure with an assumed room damping of 8dB(A)</v>
      </c>
    </row>
    <row r="74" spans="2:21" ht="16.149999999999999" hidden="1" customHeight="1" x14ac:dyDescent="0.25"/>
    <row r="75" spans="2:21" ht="15" hidden="1" x14ac:dyDescent="0.25"/>
    <row r="76" spans="2:21" ht="15" hidden="1" x14ac:dyDescent="0.25"/>
    <row r="77" spans="2:21" ht="15" hidden="1" x14ac:dyDescent="0.25"/>
    <row r="78" spans="2:21" ht="15" hidden="1" x14ac:dyDescent="0.25"/>
    <row r="79" spans="2:21" ht="15" hidden="1" x14ac:dyDescent="0.25"/>
    <row r="80" spans="2:21" ht="15" hidden="1" x14ac:dyDescent="0.25"/>
    <row r="81" ht="15" hidden="1" x14ac:dyDescent="0.25"/>
  </sheetData>
  <sheetProtection algorithmName="SHA-512" hashValue="xYoseK3TrwHhRlA0YCjWL21N5Uxr3QaQvN+SNdRYdszeu9gxBx9S7qDVVoendXaQ270xzwWYzf8vW3sCQxjVww==" saltValue="gPyb0bfmZxOS5G3ztgijeg==" spinCount="100000" sheet="1" objects="1" scenarios="1" selectLockedCells="1"/>
  <dataConsolidate/>
  <mergeCells count="32">
    <mergeCell ref="B65:P65"/>
    <mergeCell ref="B17:P17"/>
    <mergeCell ref="B41:P41"/>
    <mergeCell ref="M4:N4"/>
    <mergeCell ref="M5:N5"/>
    <mergeCell ref="B47:P47"/>
    <mergeCell ref="B53:P53"/>
    <mergeCell ref="B59:P59"/>
    <mergeCell ref="B10:D10"/>
    <mergeCell ref="G10:J10"/>
    <mergeCell ref="M8:N8"/>
    <mergeCell ref="M9:N9"/>
    <mergeCell ref="B5:D5"/>
    <mergeCell ref="B35:N35"/>
    <mergeCell ref="B29:N29"/>
    <mergeCell ref="B23:N23"/>
    <mergeCell ref="M1:Q1"/>
    <mergeCell ref="M2:Q2"/>
    <mergeCell ref="M3:Q3"/>
    <mergeCell ref="B2:L2"/>
    <mergeCell ref="B12:D12"/>
    <mergeCell ref="G12:J12"/>
    <mergeCell ref="M10:N10"/>
    <mergeCell ref="K6:N6"/>
    <mergeCell ref="G5:J5"/>
    <mergeCell ref="K4:L5"/>
    <mergeCell ref="B11:D11"/>
    <mergeCell ref="G11:J11"/>
    <mergeCell ref="M11:N14"/>
    <mergeCell ref="G13:J13"/>
    <mergeCell ref="G4:J4"/>
    <mergeCell ref="G6:J6"/>
  </mergeCells>
  <dataValidations count="5">
    <dataValidation allowBlank="1" showInputMessage="1" sqref="E10:E12" xr:uid="{00000000-0002-0000-0000-000000000000}"/>
    <dataValidation type="decimal" errorStyle="information" allowBlank="1" prompt="20°C bis 35°C" sqref="K13" xr:uid="{00000000-0002-0000-0000-000001000000}">
      <formula1>0.3</formula1>
      <formula2>0.8</formula2>
    </dataValidation>
    <dataValidation type="whole" errorStyle="information" allowBlank="1" prompt="Eingabe zwischen 5°C bis 20°C" sqref="K10" xr:uid="{00000000-0002-0000-00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K11" xr:uid="{00000000-0002-0000-0000-000003000000}">
      <formula1>K10</formula1>
      <formula2>K12</formula2>
    </dataValidation>
    <dataValidation type="whole" errorStyle="information" allowBlank="1" error="Eingabe außerhalb des gültigen Bereichs." prompt="20°C bis 35°C" sqref="K12" xr:uid="{00000000-0002-0000-0000-000004000000}">
      <formula1>20</formula1>
      <formula2>35</formula2>
    </dataValidation>
  </dataValidations>
  <pageMargins left="0.25" right="0.25" top="0.75" bottom="0.75" header="0.3" footer="0.3"/>
  <pageSetup paperSize="9" orientation="portrait" r:id="rId1"/>
  <headerFooter>
    <oddFooter xml:space="preserve">&amp;C&amp;8
</oddFooter>
  </headerFooter>
  <ignoredErrors>
    <ignoredError sqref="B66:C70 B48:C52 B43:C46 B36:C40 B30:C34 B24:C28 B22:C22 B54:C56 B18:C18 K18:N18 K19:N22 K24:N28 K30:N34 K36:N40 B42:C42 B19:C19 B20:C20 B21:C21" unlockedFormula="1"/>
  </ignoredErrors>
  <drawing r:id="rId2"/>
  <legacyDrawing r:id="rId3"/>
  <controls>
    <mc:AlternateContent xmlns:mc="http://schemas.openxmlformats.org/markup-compatibility/2006">
      <mc:Choice Requires="x14">
        <control shapeId="6153" r:id="rId4" name="btnCopy">
          <controlPr defaultSize="0" autoLine="0" r:id="rId5">
            <anchor moveWithCells="1">
              <from>
                <xdr:col>1</xdr:col>
                <xdr:colOff>200025</xdr:colOff>
                <xdr:row>3</xdr:row>
                <xdr:rowOff>9525</xdr:rowOff>
              </from>
              <to>
                <xdr:col>5</xdr:col>
                <xdr:colOff>247650</xdr:colOff>
                <xdr:row>5</xdr:row>
                <xdr:rowOff>9525</xdr:rowOff>
              </to>
            </anchor>
          </controlPr>
        </control>
      </mc:Choice>
      <mc:Fallback>
        <control shapeId="6153" r:id="rId4" name="btnCopy"/>
      </mc:Fallback>
    </mc:AlternateContent>
    <mc:AlternateContent xmlns:mc="http://schemas.openxmlformats.org/markup-compatibility/2006">
      <mc:Choice Requires="x14">
        <control shapeId="6150" r:id="rId6" name="rbtnImperial">
          <controlPr defaultSize="0" autoFill="0" autoLine="0" r:id="rId7">
            <anchor moveWithCells="1">
              <from>
                <xdr:col>12</xdr:col>
                <xdr:colOff>38100</xdr:colOff>
                <xdr:row>11</xdr:row>
                <xdr:rowOff>114300</xdr:rowOff>
              </from>
              <to>
                <xdr:col>13</xdr:col>
                <xdr:colOff>447675</xdr:colOff>
                <xdr:row>13</xdr:row>
                <xdr:rowOff>47625</xdr:rowOff>
              </to>
            </anchor>
          </controlPr>
        </control>
      </mc:Choice>
      <mc:Fallback>
        <control shapeId="6150" r:id="rId6" name="rbtnImperial"/>
      </mc:Fallback>
    </mc:AlternateContent>
    <mc:AlternateContent xmlns:mc="http://schemas.openxmlformats.org/markup-compatibility/2006">
      <mc:Choice Requires="x14">
        <control shapeId="6149" r:id="rId8" name="rbtnSI">
          <controlPr defaultSize="0" autoFill="0" autoLine="0" r:id="rId9">
            <anchor moveWithCells="1">
              <from>
                <xdr:col>12</xdr:col>
                <xdr:colOff>38100</xdr:colOff>
                <xdr:row>10</xdr:row>
                <xdr:rowOff>38100</xdr:rowOff>
              </from>
              <to>
                <xdr:col>13</xdr:col>
                <xdr:colOff>295275</xdr:colOff>
                <xdr:row>11</xdr:row>
                <xdr:rowOff>152400</xdr:rowOff>
              </to>
            </anchor>
          </controlPr>
        </control>
      </mc:Choice>
      <mc:Fallback>
        <control shapeId="6149" r:id="rId8" name="rbtnSI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6000000}">
          <x14:formula1>
            <xm:f>cal!$G$1:$N$1</xm:f>
          </x14:formula1>
          <xm:sqref>K4:L5</xm:sqref>
        </x14:dataValidation>
        <x14:dataValidation type="list" allowBlank="1" showInputMessage="1" showErrorMessage="1" xr:uid="{00000000-0002-0000-0000-000005000000}">
          <x14:formula1>
            <xm:f>cal!$AE$2:$AE$10</xm:f>
          </x14:formula1>
          <xm:sqref>K6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A1:R71"/>
  <sheetViews>
    <sheetView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211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233</v>
      </c>
      <c r="M6" s="342"/>
    </row>
    <row r="7" spans="1:18" ht="15.75" thickBot="1" x14ac:dyDescent="0.3">
      <c r="A7" s="12" t="s">
        <v>227</v>
      </c>
      <c r="B7" s="7"/>
      <c r="C7" s="7"/>
      <c r="D7" s="7"/>
      <c r="E7" s="7"/>
      <c r="F7" s="8" t="s">
        <v>230</v>
      </c>
      <c r="G7" s="8"/>
      <c r="H7" s="8"/>
      <c r="I7" s="7"/>
      <c r="J7" s="7"/>
      <c r="K7" s="7"/>
      <c r="L7" s="343"/>
      <c r="M7" s="344"/>
      <c r="Q7" s="1" t="s">
        <v>206</v>
      </c>
    </row>
    <row r="8" spans="1:18" ht="15.75" thickBot="1" x14ac:dyDescent="0.3">
      <c r="A8" s="331" t="s">
        <v>228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Voda na přívodu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232</v>
      </c>
      <c r="M8" s="346"/>
      <c r="Q8" s="1" t="s">
        <v>207</v>
      </c>
    </row>
    <row r="9" spans="1:18" ht="15.75" thickTop="1" x14ac:dyDescent="0.25">
      <c r="A9" s="331" t="s">
        <v>229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Voda na zpátečce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208</v>
      </c>
    </row>
    <row r="10" spans="1:18" x14ac:dyDescent="0.25">
      <c r="A10" s="331" t="s">
        <v>235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"Suchá" Teplota vzduchu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231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217</v>
      </c>
      <c r="B14" s="19" t="s">
        <v>218</v>
      </c>
      <c r="C14" s="26" t="str">
        <f>CONCATENATE("Výkon Topení * ",ROUND(D8,0),"/",ROUND(D9,0),"/",ROUND(D10,0)," ["&amp;IF(cal!$X$4=1,"W",IF(cal!$X$4=2,"Btu/h"))&amp;"]")</f>
        <v>Výkon Topení * 75/65/20 [W]</v>
      </c>
      <c r="D14" s="29" t="str">
        <f>"Průtok vody, topení ["&amp;IF(cal!$X$4=1,"l/h",IF(cal!$X$4=2,"GPM"))&amp;"]"</f>
        <v>Průtok vody, topení [l/h]</v>
      </c>
      <c r="E14" s="32" t="str">
        <f>"Tlaková ztráta ["&amp;IF(cal!$X$4=1,"kPa",IF(cal!$X$4=2,"inH2O"))&amp;"]"</f>
        <v>Tlaková ztráta [kPa]</v>
      </c>
      <c r="F14" s="19" t="str">
        <f>CONCATENATE("Výkon chlazení Znatelný * ",ROUND(J8,0),"/",ROUND(J9,0),"/",ROUND(J10,0)," ["&amp;IF(cal!$X$4=1,"W",IF(cal!$X$4=2,"Btu/h"))&amp;"]")</f>
        <v>Výkon chlazení Znatelný * 16/18/27 [W]</v>
      </c>
      <c r="G14" s="19" t="str">
        <f>CONCATENATE("Výkon chlazení Celkový ",ROUND(J8,0),"/",ROUND(J9,0),"/",ROUND(J10,0)," ["&amp;IF(cal!$X$4=1,"W",IF(cal!$X$4=2,"Btu/h"))&amp;"]")</f>
        <v>Výkon chlazení Celkový 16/18/27 [W]</v>
      </c>
      <c r="H14" s="19" t="str">
        <f>"Průtok vody,chlazení ["&amp;IF(cal!$X$4=1,"l/h",IF(cal!$X$4=2,"GPM"))&amp;"]"</f>
        <v>Průtok vody,chlazení [l/h]</v>
      </c>
      <c r="I14" s="20" t="str">
        <f>E14</f>
        <v>Tlaková ztráta [kPa]</v>
      </c>
      <c r="J14" s="152" t="s">
        <v>214</v>
      </c>
      <c r="K14" s="156" t="s">
        <v>215</v>
      </c>
      <c r="L14" s="153" t="s">
        <v>216</v>
      </c>
      <c r="M14" s="25" t="str">
        <f>"Průtok vzduchu ["&amp;IF(cal!$X$4=1,"m³/h",IF(cal!$X$4=2,"CFM"))&amp;"]"</f>
        <v>Průtok vzduchu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cal!$AF$1&amp;", "&amp;$R$15&amp;" "&amp;ROUND(cal!Y22,1)&amp;IF(cal!$X$4=1," cm",IF(cal!$X$4=2," in"))&amp;", "&amp;$R$16&amp;" "&amp;ROUND(cal!AA22,1)&amp;IF(cal!$X$4=1," cm",IF(cal!$X$4=2," in"))&amp;", "&amp;$R$17&amp;" "&amp;ROUND(cal!AC22,1)&amp;IF(cal!$X$4=1," cm",IF(cal!$X$4=2," in"))&amp;" (Typ 1)"</f>
        <v>Clima Canal, Výška 13 cm, Šířka 32 cm, Délka 70 cm (Typ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211</v>
      </c>
      <c r="R15" s="92" t="s">
        <v>236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212</v>
      </c>
      <c r="R16" s="92" t="s">
        <v>238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213</v>
      </c>
      <c r="R17" s="92" t="s">
        <v>237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Clima Canal Výška 13 cm Šířka 32 cm Délka 100 cm (Typ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Výška 13 cm Šířka 32 cm Délka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Clima Canal Výška 13 cm Šířka 32 cm Délka 140 cm (Typ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Clima Canal Výška 13 cm Šířka 32 cm Délka 170 cm (Typ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Clima Canal Výška 13 cm Šířka 32 cm Délka 200 cm (Typ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Clima Canal Výška 13 cm Šířka 32 cm Délka 230 cm (Typ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Clima Canal Výška 13 cm Šířka 32 cm Délka 280 cm (Typ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Clima Canal Výška 13 cm Šířka 32 cm Délka 300 cm (Typ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219</v>
      </c>
      <c r="L69" s="47"/>
      <c r="M69" s="45" t="str">
        <f>cal!N70</f>
        <v>v2026-03-23</v>
      </c>
    </row>
    <row r="70" spans="1:13" ht="9.6" customHeight="1" x14ac:dyDescent="0.25">
      <c r="A70" s="6" t="s">
        <v>220</v>
      </c>
    </row>
    <row r="71" spans="1:13" ht="9.6" customHeight="1" x14ac:dyDescent="0.25">
      <c r="A71" s="6" t="s">
        <v>221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9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9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9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9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9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900-000006000000}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144</v>
      </c>
      <c r="M6" s="342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3"/>
      <c r="M7" s="344"/>
      <c r="Q7" s="1" t="s">
        <v>171</v>
      </c>
    </row>
    <row r="8" spans="1:18" ht="15.75" thickBot="1" x14ac:dyDescent="0.3">
      <c r="A8" s="331" t="str">
        <f>"Inlet temp."</f>
        <v>Inlet 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Inlet 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113</v>
      </c>
      <c r="M8" s="346"/>
      <c r="Q8" s="1" t="s">
        <v>172</v>
      </c>
    </row>
    <row r="9" spans="1:18" ht="15.75" thickTop="1" x14ac:dyDescent="0.25">
      <c r="A9" s="331" t="str">
        <f>"Return temp."</f>
        <v>Return 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Return 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173</v>
      </c>
    </row>
    <row r="10" spans="1:18" x14ac:dyDescent="0.25">
      <c r="A10" s="331" t="str">
        <f>"Room temp."</f>
        <v>Room 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Room 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153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height 13 cm width 32 cm length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137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101</v>
      </c>
      <c r="R16" s="92" t="s">
        <v>138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102</v>
      </c>
      <c r="R17" s="92" t="s">
        <v>139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height 13 cm width 32 cm length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height 13 cm width 32 cm length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height 13 cm width 32 cm length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height 13 cm width 32 cm length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height 13 cm width 32 cm length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height 13 cm width 32 cm length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height 13 cm width 32 cm length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height 13 cm width 32 cm length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v2026-03-23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A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A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A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A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A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A00-000006000000}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144</v>
      </c>
      <c r="M6" s="342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3"/>
      <c r="M7" s="344"/>
      <c r="Q7" s="1" t="s">
        <v>171</v>
      </c>
    </row>
    <row r="8" spans="1:18" ht="15.75" thickBot="1" x14ac:dyDescent="0.3">
      <c r="A8" s="331" t="str">
        <f>"Inlet temp."</f>
        <v>Inlet 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Inlet 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113</v>
      </c>
      <c r="M8" s="346"/>
      <c r="Q8" s="1" t="s">
        <v>172</v>
      </c>
    </row>
    <row r="9" spans="1:18" ht="15.75" thickTop="1" x14ac:dyDescent="0.25">
      <c r="A9" s="331" t="str">
        <f>"Return temp."</f>
        <v>Return 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Return 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173</v>
      </c>
    </row>
    <row r="10" spans="1:18" x14ac:dyDescent="0.25">
      <c r="A10" s="331" t="str">
        <f>"Room temp."</f>
        <v>Room 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Room 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153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height 13 cm width 32 cm length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137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101</v>
      </c>
      <c r="R16" s="92" t="s">
        <v>138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102</v>
      </c>
      <c r="R17" s="92" t="s">
        <v>139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height 13 cm width 32 cm length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height 13 cm width 32 cm length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height 13 cm width 32 cm length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height 13 cm width 32 cm length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height 13 cm width 32 cm length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height 13 cm width 32 cm length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height 13 cm width 32 cm length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height 13 cm width 32 cm length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v2026-03-23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whole" errorStyle="information" allowBlank="1" showErrorMessage="1" error="Eingabe außerhalb des gültigen Bereichs." prompt="20°C bis 35°C" sqref="J10" xr:uid="{00000000-0002-0000-0B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B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B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B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B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B00-000006000000}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144</v>
      </c>
      <c r="M6" s="342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3"/>
      <c r="M7" s="344"/>
      <c r="Q7" s="1" t="s">
        <v>171</v>
      </c>
    </row>
    <row r="8" spans="1:18" ht="15.75" thickBot="1" x14ac:dyDescent="0.3">
      <c r="A8" s="331" t="str">
        <f>"Inlet temp."</f>
        <v>Inlet 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Inlet 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113</v>
      </c>
      <c r="M8" s="346"/>
      <c r="Q8" s="1" t="s">
        <v>172</v>
      </c>
    </row>
    <row r="9" spans="1:18" ht="15.75" thickTop="1" x14ac:dyDescent="0.25">
      <c r="A9" s="331" t="str">
        <f>"Return temp."</f>
        <v>Return 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Return 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173</v>
      </c>
    </row>
    <row r="10" spans="1:18" x14ac:dyDescent="0.25">
      <c r="A10" s="331" t="str">
        <f>"Room temp."</f>
        <v>Room 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Room 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153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height 13 cm width 32 cm length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137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101</v>
      </c>
      <c r="R16" s="92" t="s">
        <v>138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102</v>
      </c>
      <c r="R17" s="92" t="s">
        <v>139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height 13 cm width 32 cm length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height 13 cm width 32 cm length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height 13 cm width 32 cm length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height 13 cm width 32 cm length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height 13 cm width 32 cm length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height 13 cm width 32 cm length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height 13 cm width 32 cm length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height 13 cm width 32 cm length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v2026-03-23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9:C9"/>
    <mergeCell ref="F9:I9"/>
    <mergeCell ref="L6:M6"/>
    <mergeCell ref="L7:M7"/>
    <mergeCell ref="A8:C8"/>
    <mergeCell ref="F8:I8"/>
    <mergeCell ref="L8:M8"/>
    <mergeCell ref="A63:M63"/>
    <mergeCell ref="A10:C10"/>
    <mergeCell ref="F10:I10"/>
    <mergeCell ref="F11:H11"/>
    <mergeCell ref="A15:M15"/>
    <mergeCell ref="A21:M21"/>
    <mergeCell ref="A27:M27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C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C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B1:CZ80"/>
  <sheetViews>
    <sheetView zoomScaleNormal="100" workbookViewId="0">
      <selection activeCell="X4" sqref="X4"/>
    </sheetView>
  </sheetViews>
  <sheetFormatPr defaultColWidth="0.140625" defaultRowHeight="0" customHeight="1" zeroHeight="1" x14ac:dyDescent="0.25"/>
  <cols>
    <col min="1" max="1" width="2" style="49" customWidth="1"/>
    <col min="2" max="2" width="7" style="49" customWidth="1"/>
    <col min="3" max="3" width="6.140625" style="49" customWidth="1"/>
    <col min="4" max="4" width="7.28515625" style="49" customWidth="1"/>
    <col min="5" max="5" width="7.140625" style="49" customWidth="1"/>
    <col min="6" max="6" width="7.5703125" style="49" customWidth="1"/>
    <col min="7" max="7" width="9.42578125" style="49" customWidth="1"/>
    <col min="8" max="8" width="8.5703125" style="49" customWidth="1"/>
    <col min="9" max="9" width="7.7109375" style="49" customWidth="1"/>
    <col min="10" max="10" width="7" style="49" customWidth="1"/>
    <col min="11" max="11" width="7.85546875" style="49" customWidth="1"/>
    <col min="12" max="12" width="8.140625" style="49" customWidth="1"/>
    <col min="13" max="13" width="7.7109375" style="49" customWidth="1"/>
    <col min="14" max="16" width="7" style="49" customWidth="1"/>
    <col min="17" max="18" width="7.7109375" style="49" customWidth="1"/>
    <col min="19" max="20" width="8.42578125" style="49" customWidth="1"/>
    <col min="21" max="23" width="7.7109375" style="49" customWidth="1"/>
    <col min="24" max="25" width="5.7109375" style="49" customWidth="1"/>
    <col min="26" max="26" width="10" style="49" customWidth="1"/>
    <col min="27" max="30" width="5.7109375" style="49" customWidth="1"/>
    <col min="31" max="31" width="8.7109375" style="49" bestFit="1" customWidth="1"/>
    <col min="32" max="32" width="16.5703125" style="49" bestFit="1" customWidth="1"/>
    <col min="33" max="33" width="3.28515625" style="49" bestFit="1" customWidth="1"/>
    <col min="34" max="34" width="7" style="49" bestFit="1" customWidth="1"/>
    <col min="35" max="44" width="3.42578125" style="49" customWidth="1"/>
    <col min="45" max="45" width="2.28515625" style="49" customWidth="1"/>
    <col min="46" max="46" width="3.28515625" style="49" customWidth="1"/>
    <col min="47" max="47" width="3.85546875" style="49" customWidth="1"/>
    <col min="48" max="48" width="2.28515625" style="49" customWidth="1"/>
    <col min="49" max="97" width="3.42578125" style="49" customWidth="1"/>
    <col min="98" max="98" width="0.28515625" style="49" customWidth="1"/>
    <col min="99" max="99" width="3.42578125" style="49" hidden="1" customWidth="1"/>
    <col min="100" max="100" width="3.42578125" style="49" customWidth="1"/>
    <col min="101" max="101" width="8.28515625" style="49" customWidth="1"/>
    <col min="102" max="102" width="12" style="49" bestFit="1" customWidth="1"/>
    <col min="103" max="103" width="6.140625" style="49" customWidth="1"/>
    <col min="104" max="104" width="2" style="49" bestFit="1" customWidth="1"/>
    <col min="105" max="105" width="5.140625" style="49" customWidth="1"/>
    <col min="106" max="16384" width="0.140625" style="49"/>
  </cols>
  <sheetData>
    <row r="1" spans="2:99" ht="15" customHeight="1" x14ac:dyDescent="0.25">
      <c r="G1" s="49" t="s">
        <v>85</v>
      </c>
      <c r="H1" s="49" t="s">
        <v>84</v>
      </c>
      <c r="I1" s="49" t="s">
        <v>83</v>
      </c>
      <c r="J1" s="49" t="s">
        <v>82</v>
      </c>
      <c r="K1" s="49" t="s">
        <v>81</v>
      </c>
      <c r="L1" s="49" t="s">
        <v>150</v>
      </c>
      <c r="M1" s="49" t="s">
        <v>222</v>
      </c>
      <c r="N1" s="49" t="s">
        <v>223</v>
      </c>
      <c r="O1" s="49" t="s">
        <v>224</v>
      </c>
      <c r="P1" s="49" t="s">
        <v>225</v>
      </c>
      <c r="Q1" s="49" t="s">
        <v>226</v>
      </c>
      <c r="U1" s="49" t="str">
        <f>IF($S$7=1,NL!Q7,IF($S$7=2,EN!Q7,IF($S$7=3,DE!Q7,IF($S$7=4,FR!Q7,IF($S$7=5,NR!Q7,IF($S$7=6,SP!Q7,IF($S$7=7,SW!Q7,IF($S$7=8,TS!Q7,IF($S$7=9,ExtraTaal1!Q7,IF($S$7=10,ExtraTaal2!Q7,IF($S$7=11,ExtraTaal3!Q7,)))))))))))</f>
        <v>Copy all data</v>
      </c>
      <c r="AE1" s="172"/>
      <c r="AF1" s="172" t="s">
        <v>78</v>
      </c>
      <c r="AG1" s="172"/>
      <c r="AH1" s="172"/>
    </row>
    <row r="2" spans="2:99" ht="15" customHeight="1" x14ac:dyDescent="0.25"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U2" s="49" t="str">
        <f>IF($S$7=1,NL!Q8,IF($S$7=2,EN!Q8,IF($S$7=3,DE!Q8,IF($S$7=4,FR!Q8,IF($S$7=5,NR!Q8,IF($S$7=6,SP!Q8,IF($S$7=7,SW!Q8,IF($S$7=8,TS!Q8,IF($S$7=9,ExtraTaal1!Q8,IF($S$7=10,ExtraTaal2!Q8,IF($S$7=11,ExtraTaal3!Q8,)))))))))))</f>
        <v>SI-units</v>
      </c>
      <c r="X2" s="55"/>
      <c r="AE2" s="173" t="s">
        <v>72</v>
      </c>
      <c r="AF2" s="172" t="str">
        <f>AE16</f>
        <v>Clima H8 B18</v>
      </c>
      <c r="AG2" s="172"/>
      <c r="AH2" s="172"/>
    </row>
    <row r="3" spans="2:99" ht="15" x14ac:dyDescent="0.25">
      <c r="B3" s="23" t="str">
        <f>IF($S$7=1,NL!A2,IF(cal!$S$7=2,EN!A2,IF(cal!$S$7=3,DE!A2,IF(cal!$S$7=4,FR!A2,))))</f>
        <v>Formulary</v>
      </c>
      <c r="C3" s="22"/>
      <c r="D3" s="1"/>
      <c r="E3" s="1"/>
      <c r="F3" s="1"/>
      <c r="G3" s="88"/>
      <c r="H3" s="88"/>
      <c r="I3" s="88"/>
      <c r="J3" s="88"/>
      <c r="K3" s="1"/>
      <c r="L3" s="1"/>
      <c r="M3" s="1"/>
      <c r="N3" s="1"/>
      <c r="O3" s="1"/>
      <c r="P3" s="1"/>
      <c r="Q3" s="1"/>
      <c r="U3" s="49" t="str">
        <f>IF($S$7=1,NL!Q9,IF($S$7=2,EN!Q9,IF($S$7=3,DE!Q9,IF($S$7=4,FR!Q9,IF($S$7=5,NR!Q9,IF($S$7=6,SP!Q9,IF($S$7=7,SW!Q9,IF($S$7=8,TS!Q9,IF($S$7=9,ExtraTaal1!Q9,IF($S$7=10,ExtraTaal2!Q9,IF($S$7=11,ExtraTaal3!Q9,)))))))))))</f>
        <v>Imperial-units</v>
      </c>
      <c r="X3" s="55"/>
      <c r="AC3" s="1" t="str">
        <f>IF($S$7=1,NL!Q15,IF(cal!$S$7=2,EN!Q15,IF(cal!$S$7=3,DE!Q15,IF(cal!$S$7=4,FR!Q15,IF(cal!$S$7=5,NR!Q15,IF(cal!$S$7=6,SP!Q15,))))))</f>
        <v>Temp.</v>
      </c>
      <c r="AE3" s="173" t="s">
        <v>73</v>
      </c>
      <c r="AF3" s="172" t="str">
        <f>AL16</f>
        <v>Clima H10 B18</v>
      </c>
      <c r="AG3" s="172"/>
      <c r="AH3" s="172"/>
    </row>
    <row r="4" spans="2:99" ht="15" x14ac:dyDescent="0.25"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X4" s="66">
        <v>1</v>
      </c>
      <c r="AC4" s="1" t="str">
        <f>IF($S$7=1,NL!Q16,IF(cal!$S$7=2,EN!Q16,IF(cal!$S$7=3,DE!Q16,IF(cal!$S$7=4,FR!Q16,IF(cal!$S$7=5,NR!Q16,IF(cal!$S$7=6,SP!Q16,))))))</f>
        <v>heating!</v>
      </c>
      <c r="AE4" s="173" t="s">
        <v>111</v>
      </c>
      <c r="AF4" s="172" t="str">
        <f>AW16</f>
        <v>Clima H13 B27 4P</v>
      </c>
      <c r="AG4" s="172"/>
      <c r="AH4" s="172"/>
    </row>
    <row r="5" spans="2:99" ht="15" x14ac:dyDescent="0.25">
      <c r="B5" s="28" t="str">
        <f>IF($S$7=1,NL!A4,IF(cal!$S$7=2,EN!A4,IF(cal!$S$7=3,DE!A4,IF(cal!$S$7=4,FR!A4,))))</f>
        <v>Conditions</v>
      </c>
      <c r="C5" s="1"/>
      <c r="D5" s="1"/>
      <c r="E5" s="1"/>
      <c r="F5" s="1"/>
      <c r="G5" s="88"/>
      <c r="H5" s="88"/>
      <c r="I5" s="88"/>
      <c r="J5" s="88"/>
      <c r="K5" s="1"/>
      <c r="L5" s="1"/>
      <c r="M5" s="1"/>
      <c r="N5" s="1"/>
      <c r="O5" s="1"/>
      <c r="P5" s="1"/>
      <c r="Q5" s="1"/>
      <c r="X5" s="55"/>
      <c r="AC5" s="1" t="str">
        <f>IF($S$7=1,NL!Q17,IF(cal!$S$7=2,EN!Q17,IF(cal!$S$7=3,DE!Q17,IF(cal!$S$7=4,FR!Q17,IF(cal!$S$7=5,NR!Q17,IF(cal!$S$7=6,SP!Q17,))))))</f>
        <v>cooling!</v>
      </c>
      <c r="AE5" s="173" t="s">
        <v>74</v>
      </c>
      <c r="AF5" s="172" t="str">
        <f>BK16</f>
        <v>Clima H13 B32 2P</v>
      </c>
      <c r="AG5" s="172"/>
      <c r="AH5" s="172"/>
    </row>
    <row r="6" spans="2:99" ht="14.25" customHeight="1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1"/>
      <c r="Q6" s="1"/>
      <c r="S6" s="49">
        <f>IF(X16=1,1,0)</f>
        <v>0</v>
      </c>
      <c r="X6" s="55"/>
      <c r="AE6" s="173" t="s">
        <v>75</v>
      </c>
      <c r="AF6" s="172" t="str">
        <f>BD16</f>
        <v>Clima H13 B32 4P</v>
      </c>
      <c r="AG6" s="172"/>
      <c r="AH6" s="172"/>
    </row>
    <row r="7" spans="2:99" ht="15.75" thickBot="1" x14ac:dyDescent="0.3">
      <c r="B7" s="12" t="str">
        <f>IF($S$7=1,NL!A6,IF(cal!$S$7=2,EN!A6,IF(cal!$S$7=3,DE!A6,IF(cal!$S$7=4,FR!A6,IF(cal!$S$7=5,NR!A6,IF(cal!$S$7=6,SP!A6,IF(cal!$S$7=7,SW!A6,IF(cal!$S$7=8,TS!A6,IF(cal!$S$7=9,ExtraTaal1!A6,IF(cal!$S$7=10,ExtraTaal2!A6,IF(cal!$S$7=11,ExtraTaal3!A6,)))))))))))</f>
        <v>Temperatures</v>
      </c>
      <c r="C7" s="7"/>
      <c r="D7" s="7"/>
      <c r="E7" s="7"/>
      <c r="F7" s="7"/>
      <c r="G7" s="7"/>
      <c r="H7" s="7"/>
      <c r="I7" s="7"/>
      <c r="J7" s="7"/>
      <c r="K7" s="7"/>
      <c r="L7" s="7"/>
      <c r="M7" s="329" t="str">
        <f>IF($S$7=1,NL!L6,IF(cal!$S$7=2,EN!L6,IF(cal!$S$7=3,DE!L6,IF(cal!$S$7=4,FR!L6,IF(cal!$S$7=5,NR!L6,IF(cal!$S$7=6,SP!L6,IF(cal!$S$7=7,SW!L6,IF(cal!$S$7=8,TS!L6,IF(cal!$S$7=9,ExtraTaal1!L6,IF(cal!$S$7=10,ExtraTaal2!L6,IF(cal!$S$7=11,ExtraTaal3!L6,)))))))))))</f>
        <v>Altitude</v>
      </c>
      <c r="N7" s="330">
        <f>IF($S$7=1,NL!M6,IF(cal!$S$7=2,EN!M6,IF(cal!$S$7=3,DE!M6,IF(cal!$S$7=4,FR!M6,IF(cal!$S$7=5,NR!M6,IF(cal!$S$7=6,SP!M6,IF(cal!$S$7=7,SW!M6,IF(cal!$S$7=8,TS!M6,IF(cal!$S$7=9,ExtraTaal1!M6,IF(cal!$S$7=10,ExtraTaal2!M6,IF(cal!$S$7=11,ExtraTaal3!M6,)))))))))))</f>
        <v>0</v>
      </c>
      <c r="O7" s="315"/>
      <c r="P7" s="316"/>
      <c r="Q7" s="1"/>
      <c r="S7" s="202">
        <f>IF('Clima Canal'!$K$4=cal!G1,1,IF('Clima Canal'!$K$4=cal!H1,2,IF('Clima Canal'!$K$4=cal!I1,3,IF('Clima Canal'!$K$4=cal!J1,4,IF('Clima Canal'!$K$4=cal!K1,5,IF('Clima Canal'!$K$4=cal!L1,6,IF('Clima Canal'!$K$4=cal!M1,7,IF('Clima Canal'!$K$4=cal!N1,8,IF('Clima Canal'!$K$4=cal!O1,9,IF('Clima Canal'!$K$4=cal!P1,10,IF('Clima Canal'!$K$4=cal!Q1,11,)))))))))))</f>
        <v>2</v>
      </c>
      <c r="X7" s="55"/>
      <c r="AE7" s="173" t="s">
        <v>240</v>
      </c>
      <c r="AF7" s="172" t="str">
        <f>CH16</f>
        <v>Clima H15 B32 4P</v>
      </c>
      <c r="AG7" s="172"/>
      <c r="AH7" s="172"/>
    </row>
    <row r="8" spans="2:99" ht="15.75" thickBot="1" x14ac:dyDescent="0.3">
      <c r="B8" s="12" t="str">
        <f>IF($S$7=1,NL!A7,IF(cal!$S$7=2,EN!A7,IF(cal!$S$7=3,DE!A7,IF(cal!$S$7=4,FR!A7,IF(cal!$S$7=5,NR!A7,IF(cal!$S$7=6,SP!A7,IF(cal!$S$7=7,SW!A7,IF(cal!$S$7=8,TS!A7,IF(cal!$S$7=9,ExtraTaal1!A7,IF(cal!$S$7=10,ExtraTaal2!A7,IF(cal!$S$7=11,ExtraTaal3!A7,)))))))))))</f>
        <v>Heating:</v>
      </c>
      <c r="C8" s="7"/>
      <c r="D8" s="7"/>
      <c r="E8" s="7"/>
      <c r="F8" s="7"/>
      <c r="G8" s="8" t="str">
        <f>IF($S$7=1,NL!F7,IF(cal!$S$7=2,EN!F7,IF(cal!$S$7=3,DE!F7,IF(cal!$S$7=4,FR!F7,IF(cal!$S$7=5,NR!F7,IF(cal!$S$7=6,SP!F7,IF(cal!$S$7=7,SW!F7,IF(cal!$S$7=8,TS!F7,IF(cal!$S$7=9,ExtraTaal1!F7,IF(cal!$S$7=10,ExtraTaal2!F7,IF(cal!$S$7=11,ExtraTaal3!F7,)))))))))))</f>
        <v>Cooling:</v>
      </c>
      <c r="H8" s="8"/>
      <c r="I8" s="8"/>
      <c r="J8" s="7"/>
      <c r="K8" s="7"/>
      <c r="L8" s="7"/>
      <c r="M8" s="333">
        <f>'Clima Canal'!M9:N9</f>
        <v>0</v>
      </c>
      <c r="N8" s="334">
        <v>0</v>
      </c>
      <c r="O8" s="317" t="str">
        <f>IF($X$4=1,"m",IF($X$4=2,"ft"))</f>
        <v>m</v>
      </c>
      <c r="P8" s="318"/>
      <c r="Q8" s="1"/>
      <c r="S8" s="52" t="s">
        <v>51</v>
      </c>
      <c r="X8" s="52" t="s">
        <v>51</v>
      </c>
      <c r="AB8" s="151"/>
      <c r="AE8" s="173" t="s">
        <v>239</v>
      </c>
      <c r="AF8" s="172" t="str">
        <f>CO16</f>
        <v>Clima H15 B32 2P</v>
      </c>
      <c r="AG8" s="172"/>
      <c r="AH8" s="172"/>
    </row>
    <row r="9" spans="2:99" ht="15.75" thickBot="1" x14ac:dyDescent="0.3">
      <c r="B9" s="331" t="str">
        <f>IF($S$7=1,NL!A8,IF(cal!$S$7=2,EN!A8,IF(cal!$S$7=3,DE!A8,IF(cal!$S$7=4,FR!A8,IF(cal!$S$7=5,NR!A8,IF(cal!$S$7=6,SP!A8,IF(cal!$S$7=7,SW!A8,IF(cal!$S$7=8,TS!A8,IF(cal!$S$7=9,ExtraTaal1!A8,IF(cal!$S$7=10,ExtraTaal2!A8,IF(cal!$S$7=11,ExtraTaal3!A8,)))))))))))</f>
        <v>Inlet temp.</v>
      </c>
      <c r="C9" s="332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0</v>
      </c>
      <c r="D9" s="332">
        <f>IF($S$7=1,NL!C8,IF(cal!$S$7=2,EN!C8,IF(cal!$S$7=3,DE!C8,IF(cal!$S$7=4,FR!C8,IF(cal!$S$7=5,NR!C8,IF(cal!$S$7=6,SP!C8,IF(cal!$S$7=7,SW!C8,IF(cal!$S$7=8,TS!C8,IF(cal!$S$7=9,ExtraTaal1!C8,IF(cal!$S$7=10,ExtraTaal2!C8,IF(cal!$S$7=11,ExtraTaal3!C8,)))))))))))</f>
        <v>0</v>
      </c>
      <c r="E9" s="62">
        <f>'Clima Canal'!E10</f>
        <v>75</v>
      </c>
      <c r="F9" s="48"/>
      <c r="G9" s="332" t="str">
        <f>B9</f>
        <v>Inlet temp.</v>
      </c>
      <c r="H9" s="332">
        <f>IF($S$7=1,NL!G8,IF(cal!$S$7=2,EN!G8,IF(cal!$S$7=3,DE!G8,IF(cal!$S$7=4,FR!G8,))))</f>
        <v>0</v>
      </c>
      <c r="I9" s="332">
        <f>IF($S$7=1,NL!H8,IF(cal!$S$7=2,EN!H8,IF(cal!$S$7=3,DE!H8,IF(cal!$S$7=4,FR!H8,))))</f>
        <v>0</v>
      </c>
      <c r="J9" s="332">
        <f>IF($S$7=1,NL!I8,IF(cal!$S$7=2,EN!I8,IF(cal!$S$7=3,DE!I8,IF(cal!$S$7=4,FR!I8,))))</f>
        <v>0</v>
      </c>
      <c r="K9" s="62">
        <f>'Clima Canal'!K10</f>
        <v>16</v>
      </c>
      <c r="L9" s="7"/>
      <c r="M9" s="329" t="str">
        <f>IF($S$7=1,NL!L8,IF(cal!$S$7=2,EN!L8,IF(cal!$S$7=3,DE!L8,IF(cal!$S$7=4,FR!L8,IF(cal!$S$7=5,NR!L8,IF(cal!$S$7=6,SP!L8,IF(cal!$S$7=7,SW!L8,IF(cal!$S$7=8,TS!L8,IF(cal!$S$7=9,ExtraTaal1!L8,IF(cal!$S$7=10,ExtraTaal2!L8,IF(cal!$S$7=11,ExtraTaal3!L8,)))))))))))</f>
        <v>Unit conversion</v>
      </c>
      <c r="N9" s="330">
        <f>IF($S$7=1,NL!M8,IF(cal!$S$7=2,EN!M8,IF(cal!$S$7=3,DE!M8,IF(cal!$S$7=4,FR!M8,IF(cal!$S$7=5,NR!M8,IF(cal!$S$7=6,SP!M8,IF(cal!$S$7=7,SW!M8,IF(cal!$S$7=8,TS!M8,IF(cal!$S$7=9,ExtraTaal1!M8,IF(cal!$S$7=10,ExtraTaal2!M8,IF(cal!$S$7=11,ExtraTaal3!M8,)))))))))))</f>
        <v>0</v>
      </c>
      <c r="O9" s="256"/>
      <c r="P9" s="13"/>
      <c r="Q9" s="1"/>
      <c r="S9" s="203">
        <f>IF($X$4=1,E9,IF($X$4=2,(E9-32)/1.8))</f>
        <v>75</v>
      </c>
      <c r="X9" s="81">
        <f>IF($X$4=1,K9,IF($X$4=2,(K9-32)/1.8))</f>
        <v>16</v>
      </c>
      <c r="Y9" s="55"/>
      <c r="AE9" s="173" t="s">
        <v>76</v>
      </c>
      <c r="AF9" s="172" t="str">
        <f>BZ16</f>
        <v>Clima H19 B34 2P</v>
      </c>
      <c r="AG9" s="172"/>
      <c r="AH9" s="172"/>
    </row>
    <row r="10" spans="2:99" ht="15" x14ac:dyDescent="0.25">
      <c r="B10" s="331" t="str">
        <f>IF($S$7=1,NL!A9,IF(cal!$S$7=2,EN!A9,IF(cal!$S$7=3,DE!A9,IF(cal!$S$7=4,FR!A9,IF(cal!$S$7=5,NR!A9,IF(cal!$S$7=6,SP!A9,IF(cal!$S$7=7,SW!A9,IF(cal!$S$7=8,TS!A9,IF(cal!$S$7=9,ExtraTaal1!A9,IF(cal!$S$7=10,ExtraTaal2!A9,IF(cal!$S$7=11,ExtraTaal3!A9,)))))))))))</f>
        <v>Return temp.</v>
      </c>
      <c r="C10" s="332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0</v>
      </c>
      <c r="D10" s="332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E10" s="61">
        <f>'Clima Canal'!E11</f>
        <v>65</v>
      </c>
      <c r="F10" s="48"/>
      <c r="G10" s="332" t="str">
        <f>B10</f>
        <v>Return temp.</v>
      </c>
      <c r="H10" s="332">
        <f>IF($S$7=1,NL!G9,IF(cal!$S$7=2,EN!G9,IF(cal!$S$7=3,DE!G9,IF(cal!$S$7=4,FR!G9,))))</f>
        <v>0</v>
      </c>
      <c r="I10" s="332">
        <f>IF($S$7=1,NL!H9,IF(cal!$S$7=2,EN!H9,IF(cal!$S$7=3,DE!H9,IF(cal!$S$7=4,FR!H9,))))</f>
        <v>0</v>
      </c>
      <c r="J10" s="332">
        <f>IF($S$7=1,NL!I9,IF(cal!$S$7=2,EN!I9,IF(cal!$S$7=3,DE!I9,IF(cal!$S$7=4,FR!I9,))))</f>
        <v>0</v>
      </c>
      <c r="K10" s="62">
        <f>'Clima Canal'!K11</f>
        <v>18</v>
      </c>
      <c r="L10" s="7"/>
      <c r="M10" s="7"/>
      <c r="N10" s="7"/>
      <c r="O10" s="7"/>
      <c r="P10" s="13"/>
      <c r="Q10" s="1"/>
      <c r="S10" s="81">
        <f>IF($X$4=1,E10,IF($X$4=2,(E10-32)/1.8))</f>
        <v>65</v>
      </c>
      <c r="T10" s="146" t="s">
        <v>70</v>
      </c>
      <c r="W10" s="145" t="s">
        <v>71</v>
      </c>
      <c r="X10" s="81">
        <f>IF($X$4=1,K10,IF($X$4=2,(K10-32)/1.8))</f>
        <v>18</v>
      </c>
      <c r="Z10" s="114" t="s">
        <v>67</v>
      </c>
      <c r="AA10" s="52" t="s">
        <v>79</v>
      </c>
      <c r="AB10" s="52" t="s">
        <v>80</v>
      </c>
      <c r="AE10" s="173" t="s">
        <v>77</v>
      </c>
      <c r="AF10" s="172" t="str">
        <f>BS16</f>
        <v>Clima H19 B34 4P</v>
      </c>
      <c r="AG10" s="172"/>
      <c r="AH10" s="172"/>
    </row>
    <row r="11" spans="2:99" ht="15" x14ac:dyDescent="0.25">
      <c r="B11" s="331" t="str">
        <f>IF($S$7=1,NL!A10,IF(cal!$S$7=2,EN!A10,IF(cal!$S$7=3,DE!A10,IF(cal!$S$7=4,FR!A10,IF(cal!$S$7=5,NR!A10,IF(cal!$S$7=6,SP!A10,IF(cal!$S$7=7,SW!A10,IF(cal!$S$7=8,TS!A10,IF(cal!$S$7=9,ExtraTaal1!A10,IF(cal!$S$7=10,ExtraTaal2!A10,IF(cal!$S$7=11,ExtraTaal3!A10,)))))))))))</f>
        <v>Room temp.</v>
      </c>
      <c r="C11" s="332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0</v>
      </c>
      <c r="D11" s="332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E11" s="61">
        <f>'Clima Canal'!E12</f>
        <v>20</v>
      </c>
      <c r="F11" s="48"/>
      <c r="G11" s="332" t="str">
        <f>B11</f>
        <v>Room temp.</v>
      </c>
      <c r="H11" s="332">
        <f>IF($S$7=1,NL!G10,IF(cal!$S$7=2,EN!G10,IF(cal!$S$7=3,DE!G10,IF(cal!$S$7=4,FR!G10,))))</f>
        <v>0</v>
      </c>
      <c r="I11" s="332"/>
      <c r="J11" s="332"/>
      <c r="K11" s="62">
        <f>'Clima Canal'!K12</f>
        <v>26.999999999999996</v>
      </c>
      <c r="L11" s="7"/>
      <c r="M11" s="7"/>
      <c r="N11" s="7"/>
      <c r="O11" s="7"/>
      <c r="P11" s="13"/>
      <c r="Q11" s="1"/>
      <c r="S11" s="81">
        <f>IF($X$4=1,E11,IF($X$4=2,(E11-32)/1.8))</f>
        <v>20</v>
      </c>
      <c r="T11" s="205">
        <f>(($S$9-$S$10)/LN(($S$9-$S$11)/($S$10-$S$11)))/((75-65)/LN((75-20)/(65-20)))</f>
        <v>1</v>
      </c>
      <c r="W11" s="204">
        <f>(($X$9-$X$10)/LN(($X$9-$X$11)/($X$10-$X$11)))/((16-18)/LN((16-27)/(18-27)))</f>
        <v>1</v>
      </c>
      <c r="X11" s="81">
        <f>IF($X$4=1,K11,IF($X$4=2,(K11-32)/1.8))</f>
        <v>26.999999999999996</v>
      </c>
      <c r="Z11" s="117">
        <f>IF($X$4=1,(101325*(1-((0.0065*M8)/(288.15)))^((9.81*0.028964)/(8.31447*0.0065))),IF($X$4=2,(101325*(1-((0.0065*(M8*0.3048))/(288.15)))^((9.81*0.028964)/(8.31447*0.0065)))))</f>
        <v>101325</v>
      </c>
      <c r="AA11" s="151">
        <f>IF($X$4=1,M8/1000,IF($X$4=2,M8*0.0003048))</f>
        <v>0</v>
      </c>
      <c r="AB11" s="151">
        <f>(AA12+((1-AA12)*(p_atm/AA14)^AA13))</f>
        <v>1</v>
      </c>
    </row>
    <row r="12" spans="2:99" ht="15" x14ac:dyDescent="0.25">
      <c r="B12" s="14" t="str">
        <f>G12</f>
        <v>Relative humidity</v>
      </c>
      <c r="C12" s="7"/>
      <c r="D12" s="7"/>
      <c r="E12" s="257">
        <v>0.5</v>
      </c>
      <c r="F12" s="7"/>
      <c r="G12" s="7" t="str">
        <f>IF($S$7=1,NL!F11,IF(cal!$S$7=2,EN!F11,IF(cal!$S$7=3,DE!F11,IF(cal!$S$7=4,FR!F11,IF(cal!$S$7=5,NR!F11,IF(cal!$S$7=6,SP!F11,IF(cal!$S$7=7,SW!F11,IF(cal!$S$7=8,TS!F11,IF(cal!$S$7=9,ExtraTaal1!F11,IF(cal!$S$7=10,ExtraTaal2!F11,IF(cal!$S$7=11,ExtraTaal3!F11,)))))))))))</f>
        <v>Relative humidity</v>
      </c>
      <c r="H12" s="7"/>
      <c r="I12" s="7"/>
      <c r="J12" s="7"/>
      <c r="K12" s="44">
        <f>'Clima Canal'!K13</f>
        <v>0.5</v>
      </c>
      <c r="L12" s="7"/>
      <c r="M12" s="7"/>
      <c r="N12" s="7"/>
      <c r="O12" s="7"/>
      <c r="P12" s="13"/>
      <c r="Q12" s="1"/>
      <c r="Z12" s="49" t="s">
        <v>241</v>
      </c>
      <c r="AA12" s="49">
        <v>0</v>
      </c>
    </row>
    <row r="13" spans="2:99" ht="6" customHeight="1" x14ac:dyDescent="0.25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/>
      <c r="Q13" s="1"/>
      <c r="Z13" s="49" t="s">
        <v>242</v>
      </c>
      <c r="AA13" s="49">
        <v>0.9</v>
      </c>
    </row>
    <row r="14" spans="2:99" ht="15" x14ac:dyDescent="0.25">
      <c r="B14" s="63"/>
      <c r="C14" s="63"/>
      <c r="D14" s="89"/>
      <c r="E14" s="89">
        <f>IF($X$4=1,1,IF($X$4=2,0.004403))</f>
        <v>1</v>
      </c>
      <c r="F14" s="89">
        <f>IF($X$4=1,1,IF($X$4=2,4.0147))</f>
        <v>1</v>
      </c>
      <c r="G14" s="89">
        <f>IF($X$4=1,0.000334444444444444,IF($X$4=2,0.000568224721372))</f>
        <v>3.3444444444444401E-4</v>
      </c>
      <c r="H14" s="89">
        <f>IF($X$4=1,1,IF($X$4=2,3.4121416331))</f>
        <v>1</v>
      </c>
      <c r="I14" s="89">
        <f>IF($X$4=1,1,IF($X$4=2,0.004403))</f>
        <v>1</v>
      </c>
      <c r="J14" s="89">
        <f>IF($X$4=1,1,IF($X$4=2,4.0147))</f>
        <v>1</v>
      </c>
      <c r="K14" s="90"/>
      <c r="L14" s="90"/>
      <c r="M14" s="90"/>
      <c r="N14" s="89">
        <f>IF($X$4=1,1,IF($X$4=2,0.588575))</f>
        <v>1</v>
      </c>
      <c r="O14" s="206">
        <f>IF($X$4=1,1,1.8)</f>
        <v>1</v>
      </c>
      <c r="P14" s="206">
        <f>IF($X$4=1,0,32)</f>
        <v>0</v>
      </c>
      <c r="Q14" s="115"/>
      <c r="R14" s="116"/>
      <c r="S14" s="49" t="s">
        <v>66</v>
      </c>
      <c r="T14" s="49" t="s">
        <v>109</v>
      </c>
      <c r="U14" s="49" t="s">
        <v>110</v>
      </c>
      <c r="V14" s="49">
        <v>19</v>
      </c>
      <c r="Z14" s="49" t="s">
        <v>243</v>
      </c>
      <c r="AA14" s="49">
        <v>101325</v>
      </c>
    </row>
    <row r="15" spans="2:99" s="51" customFormat="1" ht="103.7" customHeight="1" x14ac:dyDescent="0.25">
      <c r="B15" s="210" t="str">
        <f>IF($S$7=1,NL!A14,IF(cal!$S$7=2,EN!A14,IF(cal!$S$7=3,DE!A14,IF(cal!$S$7=4,FR!A14,IF(cal!$S$7=5,NR!A14,IF(cal!$S$7=6,SP!A14,IF(cal!$S$7=7,SW!A14,IF(cal!$S$7=8,TS!A14,IF(cal!$S$7=9,ExtraTaal1!A14,IF(cal!$S$7=10,ExtraTaal2!A14,IF(cal!$S$7=11,ExtraTaal3!A14,)))))))))))</f>
        <v>Speed level:</v>
      </c>
      <c r="C15" s="211" t="str">
        <f>IF($S$7=1,NL!B14,IF(cal!$S$7=2,EN!B14,IF(cal!$S$7=3,DE!B14,IF(cal!$S$7=4,FR!B14,IF(cal!$S$7=5,NR!B14,IF(cal!$S$7=6,SP!B14,IF(cal!$S$7=7,SW!B14,IF(cal!$S$7=8,TS!B14,IF(cal!$S$7=9,ExtraTaal1!B14,IF(cal!$S$7=10,ExtraTaal2!B14,IF(cal!$S$7=11,ExtraTaal3!B14,)))))))))))</f>
        <v>Control voltage [V]</v>
      </c>
      <c r="D15" s="212" t="str">
        <f>IF($S$7=1,NL!C14,IF(cal!$S$7=2,EN!C14,IF(cal!$S$7=3,DE!C14,IF(cal!$S$7=4,FR!C14,IF(cal!$S$7=5,NR!C14,IF(cal!$S$7=6,SP!C14,IF(cal!$S$7=7,SW!C14,IF(cal!$S$7=8,TS!C14,IF(cal!$S$7=9,ExtraTaal1!C14,IF(cal!$S$7=10,ExtraTaal2!C14,IF(cal!$S$7=11,ExtraTaal3!C14,)))))))))))</f>
        <v>Heat output * 75/65/20 [W]</v>
      </c>
      <c r="E15" s="213" t="str">
        <f>IF($S$7=1,NL!D14,IF(cal!$S$7=2,EN!D14,IF(cal!$S$7=3,DE!D14,IF(cal!$S$7=4,FR!D14,IF(cal!$S$7=5,NR!D14,IF(cal!$S$7=6,SP!D14,IF(cal!$S$7=7,SW!D14,IF(cal!$S$7=8,TS!D14,IF(cal!$S$7=9,ExtraTaal1!D14,IF(cal!$S$7=10,ExtraTaal2!D14,IF(cal!$S$7=11,ExtraTaal3!D14,)))))))))))</f>
        <v>Water flowrate, heating [l/h]</v>
      </c>
      <c r="F15" s="214" t="str">
        <f>IF($S$7=1,NL!E14,IF(cal!$S$7=2,EN!E14,IF(cal!$S$7=3,DE!E14,IF(cal!$S$7=4,FR!E14,IF(cal!$S$7=5,NR!E14,IF(cal!$S$7=6,SP!E14,IF(cal!$S$7=7,SW!E14,IF(cal!$S$7=8,TS!E14,IF(cal!$S$7=9,ExtraTaal1!E14,IF(cal!$S$7=10,ExtraTaal2!E14,IF(cal!$S$7=11,ExtraTaal3!E14,)))))))))))</f>
        <v>Watersided pressure loss [kPa]</v>
      </c>
      <c r="G15" s="215" t="str">
        <f>IF($S$7=1,NL!F14,IF(cal!$S$7=2,EN!F14,IF(cal!$S$7=3,DE!F14,IF(cal!$S$7=4,FR!F14,IF(cal!$S$7=5,NR!F14,IF(cal!$S$7=6,SP!F14,IF(cal!$S$7=7,SW!F14,IF(cal!$S$7=8,TS!F14,IF(cal!$S$7=9,ExtraTaal1!F14,IF(cal!$S$7=10,ExtraTaal2!F14,IF(cal!$S$7=11,ExtraTaal3!F14,)))))))))))</f>
        <v>Sens. cooling capacity * 16/18/27 [W]</v>
      </c>
      <c r="H15" s="216" t="str">
        <f>IF($S$7=1,NL!G14,IF(cal!$S$7=2,EN!G14,IF(cal!$S$7=3,DE!G14,IF(cal!$S$7=4,FR!G14,IF(cal!$S$7=5,NR!G14,IF(cal!$S$7=6,SP!G14,IF(cal!$S$7=7,SW!G14,IF(cal!$S$7=8,TS!G14,IF(cal!$S$7=9,ExtraTaal1!G14,IF(cal!$S$7=10,ExtraTaal2!G14,IF(cal!$S$7=11,ExtraTaal3!G14,)))))))))))</f>
        <v>Tot. cooling capacity 16/18/27 [W]</v>
      </c>
      <c r="I15" s="213" t="str">
        <f>IF($S$7=1,NL!H14,IF(cal!$S$7=2,EN!H14,IF(cal!$S$7=3,DE!H14,IF(cal!$S$7=4,FR!H14,IF(cal!$S$7=5,NR!H14,IF(cal!$S$7=6,SP!H14,IF(cal!$S$7=7,SW!H14,IF(cal!$S$7=8,TS!H14,IF(cal!$S$7=9,ExtraTaal1!H14,IF(cal!$S$7=10,ExtraTaal2!H14,IF(cal!$S$7=11,ExtraTaal3!H14,)))))))))))</f>
        <v>Water flowrate, cooling [l/h]</v>
      </c>
      <c r="J15" s="214" t="str">
        <f>IF($S$7=1,NL!I14,IF(cal!$S$7=2,EN!I14,IF(cal!$S$7=3,DE!I14,IF(cal!$S$7=4,FR!I14,IF(cal!$S$7=5,NR!I14,IF(cal!$S$7=6,SP!I14,IF(cal!$S$7=7,SW!I14,IF(cal!$S$7=8,TS!I14,IF(cal!$S$7=9,ExtraTaal1!I14,IF(cal!$S$7=10,ExtraTaal2!I14,IF(cal!$S$7=11,ExtraTaal3!I14,)))))))))))</f>
        <v>Watersided pressure loss [kPa]</v>
      </c>
      <c r="K15" s="217" t="str">
        <f>IF($S$7=1,NL!J14,IF(cal!$S$7=2,EN!J14,IF(cal!$S$7=3,DE!J14,IF(cal!$S$7=4,FR!J14,IF(cal!$S$7=5,NR!J14,IF(cal!$S$7=6,SP!J14,IF(cal!$S$7=7,SW!J14,IF(cal!$S$7=8,TS!J14,IF(cal!$S$7=9,ExtraTaal1!J14,IF(cal!$S$7=10,ExtraTaal2!J14,IF(cal!$S$7=11,ExtraTaal3!J14,)))))))))))</f>
        <v>Sound pressure *** [dB(A)]</v>
      </c>
      <c r="L15" s="218" t="str">
        <f>IF($S$7=1,NL!K14,IF(cal!$S$7=2,EN!K14,IF(cal!$S$7=3,DE!K14,IF(cal!$S$7=4,FR!K14,IF(cal!$S$7=5,NR!K14,IF(cal!$S$7=6,SP!K14,IF(cal!$S$7=7,SW!K14,IF(cal!$S$7=8,TS!K14,IF(cal!$S$7=9,ExtraTaal1!K14,IF(cal!$S$7=10,ExtraTaal2!K14,IF(cal!$S$7=11,ExtraTaal3!K14,)))))))))))</f>
        <v>Sound power ** [dB(A)]</v>
      </c>
      <c r="M15" s="246" t="str">
        <f>IF($S$7=1,NL!L14,IF(cal!$S$7=2,EN!L14,IF(cal!$S$7=3,DE!L14,IF(cal!$S$7=4,FR!L14,IF(cal!$S$7=5,NR!L14,IF(cal!$S$7=6,SP!L14,IF(cal!$S$7=7,SW!L14,IF(cal!$S$7=8,TS!L14,IF(cal!$S$7=9,ExtraTaal1!L14,IF(cal!$S$7=10,ExtraTaal2!L14,IF(cal!$S$7=11,ExtraTaal3!L14,)))))))))))</f>
        <v>Electrical power [W]</v>
      </c>
      <c r="N15" s="247" t="str">
        <f>IF($S$7=1,NL!M14,IF(cal!$S$7=2,EN!M14,IF(cal!$S$7=3,DE!M14,IF(cal!$S$7=4,FR!M14,IF(cal!$S$7=5,NR!M14,IF(cal!$S$7=6,SP!M14,IF(cal!$S$7=7,SW!M14,IF(cal!$S$7=8,TS!M14,IF(cal!$S$7=9,ExtraTaal1!M14,IF(cal!$S$7=10,ExtraTaal2!M14,IF(cal!$S$7=11,ExtraTaal3!M14,)))))))))))</f>
        <v>Air flowrate [m³/h]</v>
      </c>
      <c r="O15" s="219" t="str">
        <f>IF($S$7=1,NL!N14,IF(cal!$S$7=2,EN!N14,IF(cal!$S$7=3,DE!N14,IF(cal!$S$7=4,FR!N14,IF(cal!$S$7=5,NR!N14,IF(cal!$S$7=6,SP!N14,IF(cal!$S$7=7,SW!N14,IF(cal!$S$7=8,TS!N14,IF(cal!$S$7=9,ExtraTaal1!N14,IF(cal!$S$7=10,ExtraTaal2!N14,IF(cal!$S$7=11,ExtraTaal3!N14,)))))))))))</f>
        <v>Air exhaust temp. heating [°C]</v>
      </c>
      <c r="P15" s="255" t="str">
        <f>IF($S$7=1,NL!O14,IF(cal!$S$7=2,EN!O14,IF(cal!$S$7=3,DE!O14,IF(cal!$S$7=4,FR!O14,IF(cal!$S$7=5,NR!O14,IF(cal!$S$7=6,SP!O14,IF(cal!$S$7=7,SW!O14,IF(cal!$S$7=8,TS!O14,IF(cal!$S$7=9,ExtraTaal1!O14,IF(cal!$S$7=10,ExtraTaal2!O14,IF(cal!$S$7=11,ExtraTaal3!O14,)))))))))))</f>
        <v>Air exhaust temp. cooling [°C]</v>
      </c>
      <c r="Q15" s="91" t="s">
        <v>64</v>
      </c>
      <c r="R15" s="91" t="s">
        <v>65</v>
      </c>
      <c r="S15" s="91" t="s">
        <v>65</v>
      </c>
      <c r="T15" s="91" t="s">
        <v>65</v>
      </c>
      <c r="U15" s="91" t="s">
        <v>65</v>
      </c>
      <c r="V15" s="91" t="s">
        <v>65</v>
      </c>
      <c r="X15" s="56" t="s">
        <v>47</v>
      </c>
      <c r="Y15" s="57" t="s">
        <v>48</v>
      </c>
      <c r="Z15" s="57" t="s">
        <v>52</v>
      </c>
      <c r="AA15" s="57" t="s">
        <v>53</v>
      </c>
      <c r="AB15" s="57" t="s">
        <v>54</v>
      </c>
      <c r="AC15" s="57" t="s">
        <v>55</v>
      </c>
      <c r="AD15" s="58" t="s">
        <v>56</v>
      </c>
      <c r="AE15" s="56" t="s">
        <v>47</v>
      </c>
      <c r="AF15" s="57" t="s">
        <v>48</v>
      </c>
      <c r="AG15" s="57" t="s">
        <v>52</v>
      </c>
      <c r="AH15" s="57" t="s">
        <v>53</v>
      </c>
      <c r="AI15" s="57" t="s">
        <v>54</v>
      </c>
      <c r="AJ15" s="57" t="s">
        <v>55</v>
      </c>
      <c r="AK15" s="58" t="s">
        <v>56</v>
      </c>
      <c r="AL15" s="56" t="s">
        <v>47</v>
      </c>
      <c r="AM15" s="57" t="s">
        <v>48</v>
      </c>
      <c r="AN15" s="57" t="s">
        <v>52</v>
      </c>
      <c r="AO15" s="57" t="s">
        <v>53</v>
      </c>
      <c r="AP15" s="57" t="s">
        <v>54</v>
      </c>
      <c r="AQ15" s="57" t="s">
        <v>55</v>
      </c>
      <c r="AR15" s="58" t="s">
        <v>56</v>
      </c>
      <c r="AS15" s="85"/>
      <c r="AT15" s="85"/>
      <c r="AU15" s="85"/>
      <c r="AV15" s="85"/>
      <c r="AW15" s="174" t="s">
        <v>47</v>
      </c>
      <c r="AX15" s="175" t="s">
        <v>48</v>
      </c>
      <c r="AY15" s="175" t="s">
        <v>52</v>
      </c>
      <c r="AZ15" s="175" t="s">
        <v>53</v>
      </c>
      <c r="BA15" s="175" t="s">
        <v>54</v>
      </c>
      <c r="BB15" s="175" t="s">
        <v>55</v>
      </c>
      <c r="BC15" s="176" t="s">
        <v>56</v>
      </c>
      <c r="BD15" s="56" t="s">
        <v>47</v>
      </c>
      <c r="BE15" s="57" t="s">
        <v>48</v>
      </c>
      <c r="BF15" s="57" t="s">
        <v>52</v>
      </c>
      <c r="BG15" s="57" t="s">
        <v>53</v>
      </c>
      <c r="BH15" s="57" t="s">
        <v>54</v>
      </c>
      <c r="BI15" s="57" t="s">
        <v>55</v>
      </c>
      <c r="BJ15" s="58" t="s">
        <v>56</v>
      </c>
      <c r="BK15" s="56" t="s">
        <v>47</v>
      </c>
      <c r="BL15" s="57" t="s">
        <v>48</v>
      </c>
      <c r="BM15" s="57" t="s">
        <v>52</v>
      </c>
      <c r="BN15" s="57" t="s">
        <v>53</v>
      </c>
      <c r="BO15" s="57" t="s">
        <v>54</v>
      </c>
      <c r="BP15" s="57" t="s">
        <v>55</v>
      </c>
      <c r="BQ15" s="58" t="s">
        <v>56</v>
      </c>
      <c r="BR15" s="85"/>
      <c r="BS15" s="56" t="s">
        <v>47</v>
      </c>
      <c r="BT15" s="57" t="s">
        <v>48</v>
      </c>
      <c r="BU15" s="57" t="s">
        <v>52</v>
      </c>
      <c r="BV15" s="57" t="s">
        <v>53</v>
      </c>
      <c r="BW15" s="57" t="s">
        <v>54</v>
      </c>
      <c r="BX15" s="57" t="s">
        <v>55</v>
      </c>
      <c r="BY15" s="58" t="s">
        <v>56</v>
      </c>
      <c r="BZ15" s="56" t="s">
        <v>47</v>
      </c>
      <c r="CA15" s="57" t="s">
        <v>48</v>
      </c>
      <c r="CB15" s="57" t="s">
        <v>52</v>
      </c>
      <c r="CC15" s="57" t="s">
        <v>53</v>
      </c>
      <c r="CD15" s="57" t="s">
        <v>54</v>
      </c>
      <c r="CE15" s="57" t="s">
        <v>55</v>
      </c>
      <c r="CF15" s="58" t="s">
        <v>56</v>
      </c>
      <c r="CH15" s="56" t="s">
        <v>47</v>
      </c>
      <c r="CI15" s="57" t="s">
        <v>48</v>
      </c>
      <c r="CJ15" s="57" t="s">
        <v>52</v>
      </c>
      <c r="CK15" s="57" t="s">
        <v>53</v>
      </c>
      <c r="CL15" s="57" t="s">
        <v>54</v>
      </c>
      <c r="CM15" s="57" t="s">
        <v>55</v>
      </c>
      <c r="CN15" s="58" t="s">
        <v>56</v>
      </c>
      <c r="CO15" s="56" t="s">
        <v>47</v>
      </c>
      <c r="CP15" s="57" t="s">
        <v>48</v>
      </c>
      <c r="CQ15" s="57" t="s">
        <v>52</v>
      </c>
      <c r="CR15" s="57" t="s">
        <v>53</v>
      </c>
      <c r="CS15" s="57" t="s">
        <v>54</v>
      </c>
      <c r="CT15" s="57" t="s">
        <v>55</v>
      </c>
      <c r="CU15" s="58" t="s">
        <v>56</v>
      </c>
    </row>
    <row r="16" spans="2:99" ht="18" customHeight="1" x14ac:dyDescent="0.25">
      <c r="B16" s="326" t="str">
        <f>IF($S$7=1,NL!A15,IF(cal!$S$7=2,EN!A15,IF(cal!$S$7=3,DE!A15,IF(cal!$S$7=4,FR!A15,IF(cal!$S$7=5,NR!A15,IF(cal!$S$7=6,SP!A15,IF(cal!$S$7=7,SW!A15,IF(cal!$S$7=8,TS!A15,IF(cal!$S$7=9,ExtraTaal1!A15,IF(cal!$S$7=10,ExtraTaal2!A15,IF(cal!$S$7=11,ExtraTaal3!A15,)))))))))))</f>
        <v>Clima Canal height 13 cm width 32 cm length 70 cm (Type 1)</v>
      </c>
      <c r="C16" s="327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0</v>
      </c>
      <c r="D16" s="327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0</v>
      </c>
      <c r="E16" s="327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0</v>
      </c>
      <c r="F16" s="327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0</v>
      </c>
      <c r="G16" s="327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0</v>
      </c>
      <c r="H16" s="327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0</v>
      </c>
      <c r="I16" s="327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0</v>
      </c>
      <c r="J16" s="327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0</v>
      </c>
      <c r="K16" s="327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0</v>
      </c>
      <c r="L16" s="327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0</v>
      </c>
      <c r="M16" s="327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0</v>
      </c>
      <c r="N16" s="327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0</v>
      </c>
      <c r="O16" s="327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0</v>
      </c>
      <c r="P16" s="328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0</v>
      </c>
      <c r="Q16" s="207" t="s">
        <v>11</v>
      </c>
      <c r="R16" s="52" t="s">
        <v>11</v>
      </c>
      <c r="S16" s="52" t="s">
        <v>11</v>
      </c>
      <c r="T16" s="52" t="s">
        <v>11</v>
      </c>
      <c r="U16" s="52" t="s">
        <v>11</v>
      </c>
      <c r="V16" s="52" t="s">
        <v>11</v>
      </c>
      <c r="X16" s="322">
        <f>IF('Clima Canal'!$K$6=cal!AE2,1,IF('Clima Canal'!$K$6=cal!AE3,2,IF('Clima Canal'!$K$6=cal!AE5,3,IF('Clima Canal'!$K$6=cal!AE6,4,IF('Clima Canal'!$K$6=cal!AE9,5,IF('Clima Canal'!$K$6=cal!AE10,6,IF('Clima Canal'!$K$6=cal!AE4,7,IF('Clima Canal'!$K$6=AE7,8,IF('Clima Canal'!$K$6=AE8,9,)))))))))</f>
        <v>3</v>
      </c>
      <c r="Y16" s="323"/>
      <c r="Z16" s="324"/>
      <c r="AA16" s="323"/>
      <c r="AB16" s="324"/>
      <c r="AC16" s="324"/>
      <c r="AD16" s="325"/>
      <c r="AE16" s="319" t="str">
        <f>CONCATENATE("Clima H",AF22," B",AH22)</f>
        <v>Clima H8 B18</v>
      </c>
      <c r="AF16" s="320"/>
      <c r="AG16" s="320"/>
      <c r="AH16" s="320"/>
      <c r="AI16" s="320"/>
      <c r="AJ16" s="320"/>
      <c r="AK16" s="321"/>
      <c r="AL16" s="319" t="str">
        <f>CONCATENATE("Clima H",AM22," B",AO22)</f>
        <v>Clima H10 B18</v>
      </c>
      <c r="AM16" s="320"/>
      <c r="AN16" s="320"/>
      <c r="AO16" s="320"/>
      <c r="AP16" s="320"/>
      <c r="AQ16" s="320"/>
      <c r="AR16" s="321"/>
      <c r="AS16" s="86"/>
      <c r="AT16" s="1" t="s">
        <v>68</v>
      </c>
      <c r="AU16" s="1" t="s">
        <v>69</v>
      </c>
      <c r="AV16" s="86"/>
      <c r="AW16" s="338" t="str">
        <f>CONCATENATE("Clima H",AX22," B",AZ22," 4P")</f>
        <v>Clima H13 B27 4P</v>
      </c>
      <c r="AX16" s="339"/>
      <c r="AY16" s="339"/>
      <c r="AZ16" s="339"/>
      <c r="BA16" s="339"/>
      <c r="BB16" s="339"/>
      <c r="BC16" s="340"/>
      <c r="BD16" s="335" t="str">
        <f>CONCATENATE("Clima H",BE22," B",BG22," 4P")</f>
        <v>Clima H13 B32 4P</v>
      </c>
      <c r="BE16" s="336"/>
      <c r="BF16" s="336"/>
      <c r="BG16" s="336"/>
      <c r="BH16" s="336"/>
      <c r="BI16" s="336"/>
      <c r="BJ16" s="337"/>
      <c r="BK16" s="335" t="str">
        <f>CONCATENATE("Clima H",BL22," B",BN22," 2P")</f>
        <v>Clima H13 B32 2P</v>
      </c>
      <c r="BL16" s="320"/>
      <c r="BM16" s="320"/>
      <c r="BN16" s="320"/>
      <c r="BO16" s="320"/>
      <c r="BP16" s="320"/>
      <c r="BQ16" s="321"/>
      <c r="BR16" s="86"/>
      <c r="BS16" s="319" t="str">
        <f>CONCATENATE("Clima H",BT22," B",BV22," 4P")</f>
        <v>Clima H19 B34 4P</v>
      </c>
      <c r="BT16" s="320"/>
      <c r="BU16" s="320"/>
      <c r="BV16" s="320"/>
      <c r="BW16" s="320"/>
      <c r="BX16" s="320"/>
      <c r="BY16" s="321"/>
      <c r="BZ16" s="319" t="str">
        <f>CONCATENATE("Clima H",CA22," B",CC22," 2P")</f>
        <v>Clima H19 B34 2P</v>
      </c>
      <c r="CA16" s="320"/>
      <c r="CB16" s="320"/>
      <c r="CC16" s="320"/>
      <c r="CD16" s="320"/>
      <c r="CE16" s="320"/>
      <c r="CF16" s="321"/>
      <c r="CH16" s="319" t="str">
        <f>CONCATENATE("Clima H",CI22," B",CK22," 4P")</f>
        <v>Clima H15 B32 4P</v>
      </c>
      <c r="CI16" s="320"/>
      <c r="CJ16" s="320"/>
      <c r="CK16" s="320"/>
      <c r="CL16" s="320"/>
      <c r="CM16" s="320"/>
      <c r="CN16" s="321"/>
      <c r="CO16" s="319" t="str">
        <f>CONCATENATE("Clima H",CP22," B",CR22," 2P")</f>
        <v>Clima H15 B32 2P</v>
      </c>
      <c r="CP16" s="320"/>
      <c r="CQ16" s="320"/>
      <c r="CR16" s="320"/>
      <c r="CS16" s="320"/>
      <c r="CT16" s="320"/>
      <c r="CU16" s="321"/>
    </row>
    <row r="17" spans="2:104" ht="15" x14ac:dyDescent="0.25">
      <c r="B17" s="33">
        <v>0.2</v>
      </c>
      <c r="C17" s="3">
        <v>2</v>
      </c>
      <c r="D17" s="27">
        <f>(X17*($T$11^$Q17))*Watts*CF_Altit</f>
        <v>312.78086398696399</v>
      </c>
      <c r="E17" s="3">
        <f>ROUND(((D17/Watts)/(($S$9-$S$10)*1.163))*$E$14,IF($X$4=1,0,IF($X$4=2,2)))</f>
        <v>27</v>
      </c>
      <c r="F17" s="30">
        <f>($Y$18*(E17/$E$14)^$Y$20)*$F$14</f>
        <v>1.1330472972336471E-2</v>
      </c>
      <c r="G17" s="4">
        <f>(Z17*($W$11^R17))*Watts*CF_Altit</f>
        <v>67.306371917380019</v>
      </c>
      <c r="H17" s="4">
        <f>((G17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17+0.001448)*(Tl_cool-Tavg_cold)+(0.016908*$C17-0.033574))*1.039&gt;1,1,1/(1+((2258*((0.622/(($Z$11/(1*611*EXP(17.27*(Tavg_cold/(Tavg_cold+237.3))))))-1)*1000-(0.622/(($Z$11/(RH*611*EXP(17.27*(Tl_cool/(Tl_cool+237.3))))))-1)*1000))/(1005*(Tavg_cold-Tl_cool))))*1.039+((-0.000729*$C17+0.001448)*(Tl_cool-Tavg_cold)+(0.016908*$C17-0.033574))*1.039))))*Watts</f>
        <v>67.306371917380019</v>
      </c>
      <c r="I17" s="3">
        <f>ROUND(((H17/Watts)/((Tr_cool-Tv_cool)*1.163))*$I$14,IF($X$4=1,0,IF($X$4=2,2)))</f>
        <v>29</v>
      </c>
      <c r="J17" s="5">
        <f>($AA$18*(I17/$I$14)^$AA$20)*$J$14</f>
        <v>1.2997932122495996E-2</v>
      </c>
      <c r="K17" s="59">
        <f>L17-8</f>
        <v>16</v>
      </c>
      <c r="L17" s="53">
        <f t="shared" ref="L17:M21" si="0">AB17</f>
        <v>24</v>
      </c>
      <c r="M17" s="46">
        <f t="shared" si="0"/>
        <v>0.7</v>
      </c>
      <c r="N17" s="64">
        <f>AD17*Cubics</f>
        <v>35</v>
      </c>
      <c r="O17" s="251">
        <f>((($D17/Watts)/(((p_atm*0.028964)/(8.31447*(20+273.15)))*(($N17/3600)/Cubics)*(1005+1870*((0.622)/(((p_atm)/($E$12*Pvs_Heat_in))-1)))))+Tl_heat)*Celc1+Celc2</f>
        <v>46.231789507245956</v>
      </c>
      <c r="P17" s="252">
        <f>(Tl_cool-(($G17/Watts)/(1006*$N17*kgss)))*Celc1+Celc2</f>
        <v>21.284342853591113</v>
      </c>
      <c r="Q17" s="220">
        <v>1</v>
      </c>
      <c r="R17" s="113">
        <f>IF($X$16=1,S17,IF($X$16=2,S17,IF($X$16=3,U17,IF($X$16=4,U17,IF(OR($X$16=5,$X$16=8),V17,IF(OR($X$16=6,$X$16=9),V17,IF($X$16=7,T17,)))))))</f>
        <v>0.78069999999999995</v>
      </c>
      <c r="S17" s="113">
        <v>0.6</v>
      </c>
      <c r="T17" s="113">
        <v>1.1599999999999999</v>
      </c>
      <c r="U17" s="113">
        <v>0.78069999999999995</v>
      </c>
      <c r="V17" s="144">
        <v>0.87660000000000005</v>
      </c>
      <c r="W17" s="171">
        <f>(H17-G17)/H17</f>
        <v>0</v>
      </c>
      <c r="X17" s="118">
        <f>IF($X$16=1,AE17,IF($X$16=2,AL17,IF($X$16=3,BK17,IF($X$16=4,BD17,IF($X$16=5,BZ17,IF($X$16=6,BS17,IF($X$16=7,AW17,IF($X$16=9,CH17,IF($X$16=8,CO17,)))))))))</f>
        <v>312.78086398696399</v>
      </c>
      <c r="Y17" s="119" t="str">
        <f t="shared" ref="Y17:AD17" si="1">IF($X$16=1,AF17,IF($X$16=2,AM17,IF($X$16=3,BL17,IF($X$16=4,BE17,IF($X$16=5,CA17,IF($X$16=6,BT17,IF($X$16=7,AX17,IF($X$16=9,CI17,IF($X$16=8,CP17,)))))))))</f>
        <v>a</v>
      </c>
      <c r="Z17" s="120">
        <f t="shared" si="1"/>
        <v>67.306371917380019</v>
      </c>
      <c r="AA17" s="119" t="str">
        <f t="shared" si="1"/>
        <v>a</v>
      </c>
      <c r="AB17" s="121">
        <f t="shared" si="1"/>
        <v>24</v>
      </c>
      <c r="AC17" s="121">
        <f t="shared" si="1"/>
        <v>0.7</v>
      </c>
      <c r="AD17" s="120">
        <f t="shared" si="1"/>
        <v>35</v>
      </c>
      <c r="AE17" s="118">
        <v>276</v>
      </c>
      <c r="AF17" s="119" t="s">
        <v>49</v>
      </c>
      <c r="AG17" s="120">
        <v>30</v>
      </c>
      <c r="AH17" s="119" t="s">
        <v>49</v>
      </c>
      <c r="AI17" s="121">
        <v>22</v>
      </c>
      <c r="AJ17" s="121">
        <v>0.5</v>
      </c>
      <c r="AK17" s="120">
        <v>24</v>
      </c>
      <c r="AL17" s="118">
        <f>AE17</f>
        <v>276</v>
      </c>
      <c r="AM17" s="119" t="s">
        <v>49</v>
      </c>
      <c r="AN17" s="120">
        <v>30</v>
      </c>
      <c r="AO17" s="119" t="s">
        <v>49</v>
      </c>
      <c r="AP17" s="121">
        <f>AI17</f>
        <v>22</v>
      </c>
      <c r="AQ17" s="121">
        <f>AJ17</f>
        <v>0.5</v>
      </c>
      <c r="AR17" s="122">
        <f>AK17</f>
        <v>24</v>
      </c>
      <c r="AS17" s="124"/>
      <c r="AT17" s="1">
        <f>(AG17*((((Tv_cool-Tr_cool)/LN((Tv_cool-Tl_cool)/(Tr_cool-Tl_cool)))/((16-18)/LN((16-27)/(18-27))))^S17))*$G$14</f>
        <v>1.0033333333333321E-2</v>
      </c>
      <c r="AU17" s="1">
        <f>((AT17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17+0.00625)*(Tl_cool-(Tv_cool+Tr_cool)/2)-(-0.000625*$C17+0.00625)*10))))*$H$14</f>
        <v>30.000000000000004</v>
      </c>
      <c r="AV17" s="73"/>
      <c r="AW17" s="177">
        <v>362</v>
      </c>
      <c r="AX17" s="178" t="s">
        <v>49</v>
      </c>
      <c r="AY17" s="179">
        <v>41</v>
      </c>
      <c r="AZ17" s="178" t="s">
        <v>49</v>
      </c>
      <c r="BA17" s="180">
        <v>24</v>
      </c>
      <c r="BB17" s="180">
        <v>1</v>
      </c>
      <c r="BC17" s="181">
        <v>38</v>
      </c>
      <c r="BD17" s="67">
        <v>268.32763</v>
      </c>
      <c r="BE17" s="68" t="s">
        <v>49</v>
      </c>
      <c r="BF17" s="69">
        <v>64.623507787529448</v>
      </c>
      <c r="BG17" s="68" t="s">
        <v>49</v>
      </c>
      <c r="BH17" s="70">
        <v>24</v>
      </c>
      <c r="BI17" s="70">
        <v>0.7</v>
      </c>
      <c r="BJ17" s="71">
        <v>35</v>
      </c>
      <c r="BK17" s="67">
        <v>312.78086398696399</v>
      </c>
      <c r="BL17" s="68" t="s">
        <v>49</v>
      </c>
      <c r="BM17" s="69">
        <v>67.306371917380019</v>
      </c>
      <c r="BN17" s="68" t="s">
        <v>49</v>
      </c>
      <c r="BO17" s="70">
        <f>BH17</f>
        <v>24</v>
      </c>
      <c r="BP17" s="70">
        <f t="shared" ref="BP17:BQ21" si="2">BI17</f>
        <v>0.7</v>
      </c>
      <c r="BQ17" s="71">
        <f t="shared" si="2"/>
        <v>35</v>
      </c>
      <c r="BR17" s="73"/>
      <c r="BS17" s="67">
        <v>830.26985089442314</v>
      </c>
      <c r="BT17" s="68" t="s">
        <v>49</v>
      </c>
      <c r="BU17" s="69">
        <v>149.14769510261706</v>
      </c>
      <c r="BV17" s="68" t="s">
        <v>49</v>
      </c>
      <c r="BW17" s="70">
        <v>24.964612482003041</v>
      </c>
      <c r="BX17" s="70">
        <v>1.5</v>
      </c>
      <c r="BY17" s="71">
        <v>97</v>
      </c>
      <c r="BZ17" s="67">
        <v>1245.4047763416349</v>
      </c>
      <c r="CA17" s="68" t="s">
        <v>49</v>
      </c>
      <c r="CB17" s="69">
        <v>164.06246461287881</v>
      </c>
      <c r="CC17" s="68" t="s">
        <v>49</v>
      </c>
      <c r="CD17" s="70">
        <v>24.964612482003041</v>
      </c>
      <c r="CE17" s="70">
        <v>1.5</v>
      </c>
      <c r="CF17" s="71">
        <v>97</v>
      </c>
      <c r="CH17" s="67">
        <f>BS17*0.9</f>
        <v>747.24286580498085</v>
      </c>
      <c r="CI17" s="68" t="s">
        <v>49</v>
      </c>
      <c r="CJ17" s="69">
        <f>BU17*0.9</f>
        <v>134.23292559235537</v>
      </c>
      <c r="CK17" s="68" t="s">
        <v>49</v>
      </c>
      <c r="CL17" s="70">
        <v>24.964612482003041</v>
      </c>
      <c r="CM17" s="70">
        <v>1.5</v>
      </c>
      <c r="CN17" s="71">
        <v>97</v>
      </c>
      <c r="CO17" s="67">
        <f>BZ17*0.9</f>
        <v>1120.8642987074716</v>
      </c>
      <c r="CP17" s="68" t="s">
        <v>49</v>
      </c>
      <c r="CQ17" s="69">
        <f>CB17*0.9</f>
        <v>147.65621815159093</v>
      </c>
      <c r="CR17" s="68" t="s">
        <v>49</v>
      </c>
      <c r="CS17" s="70">
        <v>24.964612482003041</v>
      </c>
      <c r="CT17" s="70">
        <v>1.5</v>
      </c>
      <c r="CU17" s="71">
        <v>97</v>
      </c>
      <c r="CW17" s="49">
        <f t="shared" ref="CW17:CW48" si="3">IF((237.3*LN((RH*EXP(17.27*(Tl_cool/(Tl_cool+237.3))))))/(17.27-LN((RH*EXP(17.27*(Tl_cool/(Tl_cool+237.3))))))&lt;((Tv_cool+Tr_cool)/2),1,IF(1/(1+((2258*((0.622/((101325/(1*611*EXP(17.27*(((Tv_cool+Tr_cool)/2)/(((Tv_cool+Tr_cool)/2)+237.3))))))-1)*1000-(0.622/((101325/(RH*611*EXP(17.27*(Tl_cool/(Tl_cool+237.3))))))-1)*1000))/(1005*(((Tv_cool+Tr_cool)/2)-Tl_cool))))&gt;1,1,1/(1+((2258*((0.622/((101325/(1*611*EXP(17.27*(((Tv_cool+Tr_cool)/2)/(((Tv_cool+Tr_cool)/2)+237.3))))))-1)*1000-(0.622/((101325/(RH*611*EXP(17.27*(Tl_cool/(Tl_cool+237.3))))))-1)*1000))/(1005*(((Tv_cool+Tr_cool)/2)-Tl_cool))))))</f>
        <v>1</v>
      </c>
      <c r="CX17" s="49">
        <f>G17/CW17</f>
        <v>67.306371917380019</v>
      </c>
      <c r="CY17" s="263">
        <f>H17-CX17</f>
        <v>0</v>
      </c>
      <c r="CZ17" s="49">
        <f>IF(CY17=0,1,0)</f>
        <v>1</v>
      </c>
    </row>
    <row r="18" spans="2:104" ht="15" x14ac:dyDescent="0.25">
      <c r="B18" s="33">
        <v>0.4</v>
      </c>
      <c r="C18" s="3">
        <v>4</v>
      </c>
      <c r="D18" s="27">
        <f>(X18*($T$11^$Q18))*Watts*CF_Altit</f>
        <v>691.76841147721154</v>
      </c>
      <c r="E18" s="3">
        <f>ROUND(((D18/Watts)/(($S$9-$S$10)*1.163))*$E$14,IF($X$4=1,0,IF($X$4=2,2)))</f>
        <v>59</v>
      </c>
      <c r="F18" s="30">
        <f>($Y$18*(E18/$E$14)^$Y$20)*$F$14</f>
        <v>5.0875474673144246E-2</v>
      </c>
      <c r="G18" s="4">
        <f>(Z18*($W$11^R18))*Watts*CF_Altit</f>
        <v>122.21148525330661</v>
      </c>
      <c r="H18" s="4">
        <f>((G18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18+0.001448)*(Tl_cool-Tavg_cold)+(0.016908*$C18-0.033574))*1.039&gt;1,1,1/(1+((2258*((0.622/(($Z$11/(1*611*EXP(17.27*(Tavg_cold/(Tavg_cold+237.3))))))-1)*1000-(0.622/(($Z$11/(RH*611*EXP(17.27*(Tl_cool/(Tl_cool+237.3))))))-1)*1000))/(1005*(Tavg_cold-Tl_cool))))*1.039+((-0.000729*$C18+0.001448)*(Tl_cool-Tavg_cold)+(0.016908*$C18-0.033574))*1.039))))*Watts</f>
        <v>122.21148525330661</v>
      </c>
      <c r="I18" s="3">
        <f>ROUND(((H18/Watts)/((Tr_cool-Tv_cool)*1.163))*$I$14,IF($X$4=1,0,IF($X$4=2,2)))</f>
        <v>53</v>
      </c>
      <c r="J18" s="5">
        <f>($AA$18*(I18/$I$14)^$AA$20)*$J$14</f>
        <v>4.1402017452910528E-2</v>
      </c>
      <c r="K18" s="59">
        <f>L18-8</f>
        <v>19</v>
      </c>
      <c r="L18" s="53">
        <f t="shared" si="0"/>
        <v>27</v>
      </c>
      <c r="M18" s="46">
        <f t="shared" si="0"/>
        <v>1.4</v>
      </c>
      <c r="N18" s="64">
        <f>AD18*Cubics</f>
        <v>44</v>
      </c>
      <c r="O18" s="253">
        <f>((($D18/Watts)/(((p_atm*0.028964)/(8.31447*(20+273.15)))*(($N18/3600)/Cubics)*(1005+1870*((0.622)/(((p_atm)/($E$12*Pvs_Heat_in))-1)))))+Tl_heat)*Celc1+Celc2</f>
        <v>66.149164031716666</v>
      </c>
      <c r="P18" s="254">
        <f>(Tl_cool-(($G18/Watts)/(1006*$N18*kgss)))*Celc1+Celc2</f>
        <v>18.744614108765099</v>
      </c>
      <c r="Q18" s="220">
        <v>1</v>
      </c>
      <c r="R18" s="113">
        <f t="shared" ref="R18:R69" si="4">IF($X$16=1,S18,IF($X$16=2,S18,IF($X$16=3,U18,IF($X$16=4,U18,IF(OR($X$16=5,$X$16=8),V18,IF(OR($X$16=6,$X$16=9),V18,IF($X$16=7,T18,)))))))</f>
        <v>0.85870000000000002</v>
      </c>
      <c r="S18" s="113">
        <v>0.68</v>
      </c>
      <c r="T18" s="113">
        <v>1.04</v>
      </c>
      <c r="U18" s="113">
        <v>0.85870000000000002</v>
      </c>
      <c r="V18" s="144">
        <v>0.87749999999999995</v>
      </c>
      <c r="W18" s="171">
        <f>(H18-G18)/H18</f>
        <v>0</v>
      </c>
      <c r="X18" s="123">
        <f t="shared" ref="X18:X70" si="5">IF($X$16=1,AE18,IF($X$16=2,AL18,IF($X$16=3,BK18,IF($X$16=4,BD18,IF($X$16=5,BZ18,IF($X$16=6,BS18,IF($X$16=7,AW18,IF($X$16=9,CH18,IF($X$16=8,CO18,)))))))))</f>
        <v>691.76841147721154</v>
      </c>
      <c r="Y18" s="124">
        <f t="shared" ref="Y18:Y70" si="6">IF($X$16=1,AF18,IF($X$16=2,AM18,IF($X$16=3,BL18,IF($X$16=4,BE18,IF($X$16=5,CA18,IF($X$16=6,BT18,IF($X$16=7,AX18,IF($X$16=9,CI18,IF($X$16=8,CP18,)))))))))</f>
        <v>2.0144747035437757E-5</v>
      </c>
      <c r="Z18" s="124">
        <f t="shared" ref="Z18:Z70" si="7">IF($X$16=1,AG18,IF($X$16=2,AN18,IF($X$16=3,BM18,IF($X$16=4,BF18,IF($X$16=5,CB18,IF($X$16=6,BU18,IF($X$16=7,AY18,IF($X$16=9,CJ18,IF($X$16=8,CQ18,)))))))))</f>
        <v>122.21148525330661</v>
      </c>
      <c r="AA18" s="124">
        <f t="shared" ref="AA18:AA70" si="8">IF($X$16=1,AH18,IF($X$16=2,AO18,IF($X$16=3,BN18,IF($X$16=4,BG18,IF($X$16=5,CC18,IF($X$16=6,BV18,IF($X$16=7,AZ18,IF($X$16=9,CK18,IF($X$16=8,CR18,)))))))))</f>
        <v>2.0144747035437757E-5</v>
      </c>
      <c r="AB18" s="125">
        <f t="shared" ref="AB18:AB70" si="9">IF($X$16=1,AI18,IF($X$16=2,AP18,IF($X$16=3,BO18,IF($X$16=4,BH18,IF($X$16=5,CD18,IF($X$16=6,BW18,IF($X$16=7,BA18,IF($X$16=9,CL18,IF($X$16=8,CS18,)))))))))</f>
        <v>27</v>
      </c>
      <c r="AC18" s="125">
        <f t="shared" ref="AC18:AC70" si="10">IF($X$16=1,AJ18,IF($X$16=2,AQ18,IF($X$16=3,BP18,IF($X$16=4,BI18,IF($X$16=5,CE18,IF($X$16=6,BX18,IF($X$16=7,BB18,IF($X$16=9,CM18,IF($X$16=8,CT18,)))))))))</f>
        <v>1.4</v>
      </c>
      <c r="AD18" s="124">
        <f t="shared" ref="AD18:AD70" si="11">IF($X$16=1,AK18,IF($X$16=2,AR18,IF($X$16=3,BQ18,IF($X$16=4,BJ18,IF($X$16=5,CF18,IF($X$16=6,BY18,IF($X$16=7,BC18,IF($X$16=9,CN18,IF($X$16=8,CU18,)))))))))</f>
        <v>44</v>
      </c>
      <c r="AE18" s="123">
        <v>496</v>
      </c>
      <c r="AF18" s="124">
        <v>2.5649818987149339E-4</v>
      </c>
      <c r="AG18" s="124">
        <v>66</v>
      </c>
      <c r="AH18" s="124">
        <f>AF18</f>
        <v>2.5649818987149339E-4</v>
      </c>
      <c r="AI18" s="125">
        <v>23</v>
      </c>
      <c r="AJ18" s="125">
        <v>0.8</v>
      </c>
      <c r="AK18" s="124">
        <v>37</v>
      </c>
      <c r="AL18" s="123">
        <f>AE18</f>
        <v>496</v>
      </c>
      <c r="AM18" s="124">
        <f>AH18</f>
        <v>2.5649818987149339E-4</v>
      </c>
      <c r="AN18" s="124">
        <v>66</v>
      </c>
      <c r="AO18" s="124">
        <f>AM18</f>
        <v>2.5649818987149339E-4</v>
      </c>
      <c r="AP18" s="125">
        <f t="shared" ref="AP18:AR21" si="12">AI18</f>
        <v>23</v>
      </c>
      <c r="AQ18" s="125">
        <f t="shared" si="12"/>
        <v>0.8</v>
      </c>
      <c r="AR18" s="126">
        <f t="shared" si="12"/>
        <v>37</v>
      </c>
      <c r="AS18" s="124"/>
      <c r="AT18" s="1">
        <f>(AG18*((((Tv_cool-Tr_cool)/LN((Tv_cool-Tl_cool)/(Tr_cool-Tl_cool)))/((16-18)/LN((16-27)/(18-27))))^S18))*$G$14</f>
        <v>2.2073333333333306E-2</v>
      </c>
      <c r="AU18" s="1">
        <f>((AT18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18+0.00625)*(Tl_cool-(Tv_cool+Tr_cool)/2)-(-0.000625*$C18+0.00625)*10))))*$H$14</f>
        <v>66</v>
      </c>
      <c r="AV18" s="73"/>
      <c r="AW18" s="182">
        <v>590</v>
      </c>
      <c r="AX18" s="183">
        <v>2.55E-5</v>
      </c>
      <c r="AY18" s="183">
        <v>84</v>
      </c>
      <c r="AZ18" s="261">
        <v>5.8081200000000001E-6</v>
      </c>
      <c r="BA18" s="184">
        <v>27</v>
      </c>
      <c r="BB18" s="184">
        <v>1.6</v>
      </c>
      <c r="BC18" s="185">
        <v>55</v>
      </c>
      <c r="BD18" s="72">
        <v>535.13636999999994</v>
      </c>
      <c r="BE18" s="73">
        <v>2.9298500000000001E-5</v>
      </c>
      <c r="BF18" s="73">
        <v>117.3585340330626</v>
      </c>
      <c r="BG18" s="73">
        <v>1.1996876822122094E-5</v>
      </c>
      <c r="BH18" s="74">
        <v>27</v>
      </c>
      <c r="BI18" s="74">
        <v>1.4</v>
      </c>
      <c r="BJ18" s="75">
        <v>44</v>
      </c>
      <c r="BK18" s="72">
        <v>691.76841147721154</v>
      </c>
      <c r="BL18" s="73">
        <v>2.0144747035437757E-5</v>
      </c>
      <c r="BM18" s="73">
        <v>122.21148525330661</v>
      </c>
      <c r="BN18" s="73">
        <f>BL18</f>
        <v>2.0144747035437757E-5</v>
      </c>
      <c r="BO18" s="74">
        <f>BH18</f>
        <v>27</v>
      </c>
      <c r="BP18" s="74">
        <f t="shared" si="2"/>
        <v>1.4</v>
      </c>
      <c r="BQ18" s="75">
        <f t="shared" si="2"/>
        <v>44</v>
      </c>
      <c r="BR18" s="73"/>
      <c r="BS18" s="72">
        <v>1310.3000494857993</v>
      </c>
      <c r="BT18" s="73">
        <v>2.2035480565662373E-5</v>
      </c>
      <c r="BU18" s="73">
        <v>291.40048094666514</v>
      </c>
      <c r="BV18" s="73">
        <v>6.6066314442915391E-5</v>
      </c>
      <c r="BW18" s="74">
        <v>29.008364373401289</v>
      </c>
      <c r="BX18" s="74">
        <v>2.7</v>
      </c>
      <c r="BY18" s="75">
        <v>167</v>
      </c>
      <c r="BZ18" s="72">
        <v>1965.4500742286991</v>
      </c>
      <c r="CA18" s="73">
        <v>2.7734576306310619E-5</v>
      </c>
      <c r="CB18" s="73">
        <v>320.54052904133164</v>
      </c>
      <c r="CC18" s="73">
        <v>2.7734576306310619E-5</v>
      </c>
      <c r="CD18" s="74">
        <v>29.008364373401289</v>
      </c>
      <c r="CE18" s="74">
        <v>2.7</v>
      </c>
      <c r="CF18" s="75">
        <v>167</v>
      </c>
      <c r="CH18" s="72">
        <f t="shared" ref="CH18:CH21" si="13">BS18*0.9</f>
        <v>1179.2700445372193</v>
      </c>
      <c r="CI18" s="73">
        <v>2.2035480565662373E-5</v>
      </c>
      <c r="CJ18" s="73">
        <f t="shared" ref="CJ18:CJ21" si="14">BU18*0.9</f>
        <v>262.26043285199864</v>
      </c>
      <c r="CK18" s="73">
        <v>6.6066314442915391E-5</v>
      </c>
      <c r="CL18" s="74">
        <v>29.008364373401289</v>
      </c>
      <c r="CM18" s="74">
        <v>2.7</v>
      </c>
      <c r="CN18" s="75">
        <v>167</v>
      </c>
      <c r="CO18" s="72">
        <f t="shared" ref="CO18:CO21" si="15">BZ18*0.9</f>
        <v>1768.9050668058292</v>
      </c>
      <c r="CP18" s="73">
        <v>2.7734576306310619E-5</v>
      </c>
      <c r="CQ18" s="73">
        <f t="shared" ref="CQ18:CQ21" si="16">CB18*0.9</f>
        <v>288.48647613719851</v>
      </c>
      <c r="CR18" s="73">
        <v>2.7734576306310619E-5</v>
      </c>
      <c r="CS18" s="74">
        <v>29.008364373401289</v>
      </c>
      <c r="CT18" s="74">
        <v>2.7</v>
      </c>
      <c r="CU18" s="75">
        <v>167</v>
      </c>
      <c r="CW18" s="49">
        <f t="shared" si="3"/>
        <v>1</v>
      </c>
      <c r="CX18" s="49">
        <f t="shared" ref="CX18:CX71" si="17">G18/CW18</f>
        <v>122.21148525330661</v>
      </c>
      <c r="CY18" s="263">
        <f t="shared" ref="CY18:CY71" si="18">H18-CX18</f>
        <v>0</v>
      </c>
      <c r="CZ18" s="49">
        <f t="shared" ref="CZ18:CZ71" si="19">IF(CY18=0,1,0)</f>
        <v>1</v>
      </c>
    </row>
    <row r="19" spans="2:104" ht="15" x14ac:dyDescent="0.25">
      <c r="B19" s="33">
        <v>0.6</v>
      </c>
      <c r="C19" s="3">
        <v>6</v>
      </c>
      <c r="D19" s="27">
        <f>(X19*($T$11^$Q19))*Watts*CF_Altit</f>
        <v>1031.2359042995408</v>
      </c>
      <c r="E19" s="3">
        <f>ROUND(((D19/Watts)/(($S$9-$S$10)*1.163))*$E$14,IF($X$4=1,0,IF($X$4=2,2)))</f>
        <v>89</v>
      </c>
      <c r="F19" s="30">
        <f>($Y$18*(E19/$E$14)^$Y$20)*$F$14</f>
        <v>0.11208162007510875</v>
      </c>
      <c r="G19" s="4">
        <f>(Z19*($W$11^R19))*Watts*CF_Altit</f>
        <v>174.53607497828463</v>
      </c>
      <c r="H19" s="4">
        <f>((G19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19+0.001448)*(Tl_cool-Tavg_cold)+(0.016908*$C19-0.033574))*1.039&gt;1,1,1/(1+((2258*((0.622/(($Z$11/(1*611*EXP(17.27*(Tavg_cold/(Tavg_cold+237.3))))))-1)*1000-(0.622/(($Z$11/(RH*611*EXP(17.27*(Tl_cool/(Tl_cool+237.3))))))-1)*1000))/(1005*(Tavg_cold-Tl_cool))))*1.039+((-0.000729*$C19+0.001448)*(Tl_cool-Tavg_cold)+(0.016908*$C19-0.033574))*1.039))))*Watts</f>
        <v>174.53607497828463</v>
      </c>
      <c r="I19" s="3">
        <f>ROUND(((H19/Watts)/((Tr_cool-Tv_cool)*1.163))*$I$14,IF($X$4=1,0,IF($X$4=2,2)))</f>
        <v>75</v>
      </c>
      <c r="J19" s="5">
        <f>($AA$18*(I19/$I$14)^$AA$20)*$J$14</f>
        <v>8.0672630972883866E-2</v>
      </c>
      <c r="K19" s="59">
        <f>L19-8</f>
        <v>27</v>
      </c>
      <c r="L19" s="53">
        <f t="shared" si="0"/>
        <v>35</v>
      </c>
      <c r="M19" s="46">
        <f t="shared" si="0"/>
        <v>2.6</v>
      </c>
      <c r="N19" s="64">
        <f>AD19*Cubics</f>
        <v>85</v>
      </c>
      <c r="O19" s="253">
        <f>((($D19/Watts)/(((p_atm*0.028964)/(8.31447*(20+273.15)))*(($N19/3600)/Cubics)*(1005+1870*((0.622)/(((p_atm)/($E$12*Pvs_Heat_in))-1)))))+Tl_heat)*Celc1+Celc2</f>
        <v>55.611878892120153</v>
      </c>
      <c r="P19" s="254">
        <f>(Tl_cool-(($G19/Watts)/(1006*$N19*kgss)))*Celc1+Celc2</f>
        <v>20.896986753294716</v>
      </c>
      <c r="Q19" s="220">
        <v>1</v>
      </c>
      <c r="R19" s="113">
        <f t="shared" si="4"/>
        <v>0.8831</v>
      </c>
      <c r="S19" s="113">
        <v>0.79</v>
      </c>
      <c r="T19" s="113">
        <v>0.95</v>
      </c>
      <c r="U19" s="113">
        <v>0.8831</v>
      </c>
      <c r="V19" s="144">
        <v>0.88200000000000001</v>
      </c>
      <c r="W19" s="171">
        <f>(H19-G19)/H19</f>
        <v>0</v>
      </c>
      <c r="X19" s="123">
        <f t="shared" si="5"/>
        <v>1031.2359042995408</v>
      </c>
      <c r="Y19" s="119" t="str">
        <f t="shared" si="6"/>
        <v>b</v>
      </c>
      <c r="Z19" s="124">
        <f t="shared" si="7"/>
        <v>174.53607497828463</v>
      </c>
      <c r="AA19" s="119" t="str">
        <f t="shared" si="8"/>
        <v>b</v>
      </c>
      <c r="AB19" s="125">
        <f t="shared" si="9"/>
        <v>35</v>
      </c>
      <c r="AC19" s="125">
        <f t="shared" si="10"/>
        <v>2.6</v>
      </c>
      <c r="AD19" s="124">
        <f t="shared" si="11"/>
        <v>85</v>
      </c>
      <c r="AE19" s="123">
        <v>699</v>
      </c>
      <c r="AF19" s="119" t="s">
        <v>50</v>
      </c>
      <c r="AG19" s="124">
        <v>104</v>
      </c>
      <c r="AH19" s="119" t="s">
        <v>50</v>
      </c>
      <c r="AI19" s="125">
        <v>31</v>
      </c>
      <c r="AJ19" s="125">
        <v>1.3</v>
      </c>
      <c r="AK19" s="124">
        <v>52</v>
      </c>
      <c r="AL19" s="123">
        <f>AE19</f>
        <v>699</v>
      </c>
      <c r="AM19" s="119" t="s">
        <v>50</v>
      </c>
      <c r="AN19" s="124">
        <v>104</v>
      </c>
      <c r="AO19" s="119" t="s">
        <v>50</v>
      </c>
      <c r="AP19" s="125">
        <f t="shared" si="12"/>
        <v>31</v>
      </c>
      <c r="AQ19" s="125">
        <f t="shared" si="12"/>
        <v>1.3</v>
      </c>
      <c r="AR19" s="126">
        <f t="shared" si="12"/>
        <v>52</v>
      </c>
      <c r="AS19" s="124"/>
      <c r="AT19" s="1">
        <f>(AG19*((((Tv_cool-Tr_cool)/LN((Tv_cool-Tl_cool)/(Tr_cool-Tl_cool)))/((16-18)/LN((16-27)/(18-27))))^S19))*$G$14</f>
        <v>3.478222222222218E-2</v>
      </c>
      <c r="AU19" s="1">
        <f>((AT19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19+0.00625)*(Tl_cool-(Tv_cool+Tr_cool)/2)-(-0.000625*$C19+0.00625)*10))))*$H$14</f>
        <v>104</v>
      </c>
      <c r="AV19" s="73"/>
      <c r="AW19" s="182">
        <v>786</v>
      </c>
      <c r="AX19" s="178" t="s">
        <v>50</v>
      </c>
      <c r="AY19" s="183">
        <v>127</v>
      </c>
      <c r="AZ19" s="178" t="s">
        <v>50</v>
      </c>
      <c r="BA19" s="184">
        <v>35.1</v>
      </c>
      <c r="BB19" s="184">
        <v>2.9</v>
      </c>
      <c r="BC19" s="185">
        <v>85</v>
      </c>
      <c r="BD19" s="72">
        <v>754.79587000000004</v>
      </c>
      <c r="BE19" s="68" t="s">
        <v>50</v>
      </c>
      <c r="BF19" s="73">
        <v>168.71575127942032</v>
      </c>
      <c r="BG19" s="68" t="s">
        <v>50</v>
      </c>
      <c r="BH19" s="74">
        <v>35</v>
      </c>
      <c r="BI19" s="74">
        <v>2.6</v>
      </c>
      <c r="BJ19" s="75">
        <v>85</v>
      </c>
      <c r="BK19" s="72">
        <v>1031.2359042995408</v>
      </c>
      <c r="BL19" s="68" t="s">
        <v>50</v>
      </c>
      <c r="BM19" s="73">
        <v>174.53607497828463</v>
      </c>
      <c r="BN19" s="68" t="s">
        <v>50</v>
      </c>
      <c r="BO19" s="74">
        <f>BH19</f>
        <v>35</v>
      </c>
      <c r="BP19" s="74">
        <f t="shared" si="2"/>
        <v>2.6</v>
      </c>
      <c r="BQ19" s="75">
        <f t="shared" si="2"/>
        <v>85</v>
      </c>
      <c r="BR19" s="73"/>
      <c r="BS19" s="72">
        <v>1711.1258342562737</v>
      </c>
      <c r="BT19" s="68" t="s">
        <v>50</v>
      </c>
      <c r="BU19" s="73">
        <v>431.16200386494791</v>
      </c>
      <c r="BV19" s="68" t="s">
        <v>50</v>
      </c>
      <c r="BW19" s="74">
        <v>34.993900782441038</v>
      </c>
      <c r="BX19" s="74">
        <v>4.8</v>
      </c>
      <c r="BY19" s="75">
        <v>236</v>
      </c>
      <c r="BZ19" s="72">
        <v>2566.6887513844108</v>
      </c>
      <c r="CA19" s="68" t="s">
        <v>50</v>
      </c>
      <c r="CB19" s="73">
        <v>474.27820425144279</v>
      </c>
      <c r="CC19" s="68" t="s">
        <v>50</v>
      </c>
      <c r="CD19" s="74">
        <v>34.993900782441038</v>
      </c>
      <c r="CE19" s="74">
        <v>4.8</v>
      </c>
      <c r="CF19" s="75">
        <v>236</v>
      </c>
      <c r="CH19" s="72">
        <f t="shared" si="13"/>
        <v>1540.0132508306465</v>
      </c>
      <c r="CI19" s="68" t="s">
        <v>50</v>
      </c>
      <c r="CJ19" s="73">
        <f t="shared" si="14"/>
        <v>388.04580347845314</v>
      </c>
      <c r="CK19" s="68" t="s">
        <v>50</v>
      </c>
      <c r="CL19" s="74">
        <v>34.993900782441038</v>
      </c>
      <c r="CM19" s="74">
        <v>4.8</v>
      </c>
      <c r="CN19" s="75">
        <v>236</v>
      </c>
      <c r="CO19" s="72">
        <f t="shared" si="15"/>
        <v>2310.01987624597</v>
      </c>
      <c r="CP19" s="68" t="s">
        <v>50</v>
      </c>
      <c r="CQ19" s="73">
        <f t="shared" si="16"/>
        <v>426.85038382629853</v>
      </c>
      <c r="CR19" s="68" t="s">
        <v>50</v>
      </c>
      <c r="CS19" s="74">
        <v>34.993900782441038</v>
      </c>
      <c r="CT19" s="74">
        <v>4.8</v>
      </c>
      <c r="CU19" s="75">
        <v>236</v>
      </c>
      <c r="CW19" s="49">
        <f t="shared" si="3"/>
        <v>1</v>
      </c>
      <c r="CX19" s="49">
        <f t="shared" si="17"/>
        <v>174.53607497828463</v>
      </c>
      <c r="CY19" s="263">
        <f t="shared" si="18"/>
        <v>0</v>
      </c>
      <c r="CZ19" s="49">
        <f t="shared" si="19"/>
        <v>1</v>
      </c>
    </row>
    <row r="20" spans="2:104" ht="15" x14ac:dyDescent="0.25">
      <c r="B20" s="33">
        <v>0.8</v>
      </c>
      <c r="C20" s="3">
        <v>8</v>
      </c>
      <c r="D20" s="27">
        <f>(X20*($T$11^$Q20))*Watts*CF_Altit</f>
        <v>1331.183342453952</v>
      </c>
      <c r="E20" s="3">
        <f>ROUND(((D20/Watts)/(($S$9-$S$10)*1.163))*$E$14,IF($X$4=1,0,IF($X$4=2,2)))</f>
        <v>114</v>
      </c>
      <c r="F20" s="30">
        <f>($Y$18*(E20/$E$14)^$Y$20)*$F$14</f>
        <v>0.18034462298913481</v>
      </c>
      <c r="G20" s="4">
        <f>(Z20*($W$11^R20))*Watts*CF_Altit</f>
        <v>224.28014109231404</v>
      </c>
      <c r="H20" s="4">
        <f>((G20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20+0.001448)*(Tl_cool-Tavg_cold)+(0.016908*$C20-0.033574))*1.039&gt;1,1,1/(1+((2258*((0.622/(($Z$11/(1*611*EXP(17.27*(Tavg_cold/(Tavg_cold+237.3))))))-1)*1000-(0.622/(($Z$11/(RH*611*EXP(17.27*(Tl_cool/(Tl_cool+237.3))))))-1)*1000))/(1005*(Tavg_cold-Tl_cool))))*1.039+((-0.000729*$C20+0.001448)*(Tl_cool-Tavg_cold)+(0.016908*$C20-0.033574))*1.039))))*Watts</f>
        <v>224.28014109231404</v>
      </c>
      <c r="I20" s="3">
        <f>ROUND(((H20/Watts)/((Tr_cool-Tv_cool)*1.163))*$I$14,IF($X$4=1,0,IF($X$4=2,2)))</f>
        <v>96</v>
      </c>
      <c r="J20" s="5">
        <f>($AA$18*(I20/$I$14)^$AA$20)*$J$14</f>
        <v>0.12963111643218425</v>
      </c>
      <c r="K20" s="59">
        <f>L20-8</f>
        <v>35</v>
      </c>
      <c r="L20" s="53">
        <f t="shared" si="0"/>
        <v>43</v>
      </c>
      <c r="M20" s="46">
        <f t="shared" si="0"/>
        <v>4.7</v>
      </c>
      <c r="N20" s="64">
        <f>AD20*Cubics</f>
        <v>117</v>
      </c>
      <c r="O20" s="253">
        <f>((($D20/Watts)/(((p_atm*0.028964)/(8.31447*(20+273.15)))*(($N20/3600)/Cubics)*(1005+1870*((0.622)/(((p_atm)/($E$12*Pvs_Heat_in))-1)))))+Tl_heat)*Celc1+Celc2</f>
        <v>53.397026479125202</v>
      </c>
      <c r="P20" s="254">
        <f>(Tl_cool-(($G20/Watts)/(1006*$N20*kgss)))*Celc1+Celc2</f>
        <v>21.302517603494429</v>
      </c>
      <c r="Q20" s="220">
        <v>1</v>
      </c>
      <c r="R20" s="113">
        <f t="shared" si="4"/>
        <v>0.85389999999999999</v>
      </c>
      <c r="S20" s="113">
        <v>0.87</v>
      </c>
      <c r="T20" s="113">
        <v>0.95</v>
      </c>
      <c r="U20" s="113">
        <v>0.85389999999999999</v>
      </c>
      <c r="V20" s="144">
        <v>0.89500000000000002</v>
      </c>
      <c r="W20" s="171">
        <f>(H20-G20)/H20</f>
        <v>0</v>
      </c>
      <c r="X20" s="123">
        <f t="shared" si="5"/>
        <v>1331.183342453952</v>
      </c>
      <c r="Y20" s="124">
        <f t="shared" si="6"/>
        <v>1.9213049050521955</v>
      </c>
      <c r="Z20" s="124">
        <f t="shared" si="7"/>
        <v>224.28014109231404</v>
      </c>
      <c r="AA20" s="124">
        <f t="shared" si="8"/>
        <v>1.9213049050521955</v>
      </c>
      <c r="AB20" s="125">
        <f t="shared" si="9"/>
        <v>43</v>
      </c>
      <c r="AC20" s="125">
        <f t="shared" si="10"/>
        <v>4.7</v>
      </c>
      <c r="AD20" s="124">
        <f t="shared" si="11"/>
        <v>117</v>
      </c>
      <c r="AE20" s="123">
        <v>891</v>
      </c>
      <c r="AF20" s="124">
        <v>1.8235155847906248</v>
      </c>
      <c r="AG20" s="124">
        <v>144</v>
      </c>
      <c r="AH20" s="124">
        <f>AF20</f>
        <v>1.8235155847906248</v>
      </c>
      <c r="AI20" s="125">
        <v>36</v>
      </c>
      <c r="AJ20" s="125">
        <v>2.1</v>
      </c>
      <c r="AK20" s="124">
        <v>68</v>
      </c>
      <c r="AL20" s="123">
        <f>AE20</f>
        <v>891</v>
      </c>
      <c r="AM20" s="124">
        <f>AH20</f>
        <v>1.8235155847906248</v>
      </c>
      <c r="AN20" s="124">
        <v>144</v>
      </c>
      <c r="AO20" s="124">
        <f>AM20</f>
        <v>1.8235155847906248</v>
      </c>
      <c r="AP20" s="125">
        <f t="shared" si="12"/>
        <v>36</v>
      </c>
      <c r="AQ20" s="125">
        <f t="shared" si="12"/>
        <v>2.1</v>
      </c>
      <c r="AR20" s="126">
        <f t="shared" si="12"/>
        <v>68</v>
      </c>
      <c r="AS20" s="124"/>
      <c r="AT20" s="1">
        <f>(AG20*((((Tv_cool-Tr_cool)/LN((Tv_cool-Tl_cool)/(Tr_cool-Tl_cool)))/((16-18)/LN((16-27)/(18-27))))^S20))*$G$14</f>
        <v>4.8159999999999939E-2</v>
      </c>
      <c r="AU20" s="1">
        <f>((AT20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20+0.00625)*(Tl_cool-(Tv_cool+Tr_cool)/2)-(-0.000625*$C20+0.00625)*10))))*$H$14</f>
        <v>144</v>
      </c>
      <c r="AV20" s="73"/>
      <c r="AW20" s="182">
        <v>962</v>
      </c>
      <c r="AX20" s="183">
        <v>1.8</v>
      </c>
      <c r="AY20" s="183">
        <v>170</v>
      </c>
      <c r="AZ20" s="183">
        <v>2</v>
      </c>
      <c r="BA20" s="184">
        <v>43</v>
      </c>
      <c r="BB20" s="184">
        <v>5</v>
      </c>
      <c r="BC20" s="185">
        <v>117</v>
      </c>
      <c r="BD20" s="72">
        <v>927.30612999999994</v>
      </c>
      <c r="BE20" s="73">
        <v>1.91852</v>
      </c>
      <c r="BF20" s="73">
        <v>218.69515952660262</v>
      </c>
      <c r="BG20" s="73">
        <v>1.9520723695113043</v>
      </c>
      <c r="BH20" s="74">
        <v>43</v>
      </c>
      <c r="BI20" s="74">
        <v>4.7</v>
      </c>
      <c r="BJ20" s="75">
        <v>117</v>
      </c>
      <c r="BK20" s="72">
        <v>1331.183342453952</v>
      </c>
      <c r="BL20" s="73">
        <v>1.9213049050521955</v>
      </c>
      <c r="BM20" s="73">
        <v>224.28014109231404</v>
      </c>
      <c r="BN20" s="73">
        <f>BL20</f>
        <v>1.9213049050521955</v>
      </c>
      <c r="BO20" s="74">
        <f>BH20</f>
        <v>43</v>
      </c>
      <c r="BP20" s="74">
        <f t="shared" si="2"/>
        <v>4.7</v>
      </c>
      <c r="BQ20" s="75">
        <f t="shared" si="2"/>
        <v>117</v>
      </c>
      <c r="BR20" s="73"/>
      <c r="BS20" s="72">
        <v>2067.8653064819118</v>
      </c>
      <c r="BT20" s="73">
        <v>2</v>
      </c>
      <c r="BU20" s="73">
        <v>569.32988630849945</v>
      </c>
      <c r="BV20" s="73">
        <v>2</v>
      </c>
      <c r="BW20" s="74">
        <v>42.99363224187082</v>
      </c>
      <c r="BX20" s="74">
        <v>9.3000000000000007</v>
      </c>
      <c r="BY20" s="75">
        <v>309</v>
      </c>
      <c r="BZ20" s="72">
        <v>3101.7979597228677</v>
      </c>
      <c r="CA20" s="73">
        <v>2</v>
      </c>
      <c r="CB20" s="73">
        <v>626.26287493934944</v>
      </c>
      <c r="CC20" s="73">
        <v>2</v>
      </c>
      <c r="CD20" s="74">
        <v>42.99363224187082</v>
      </c>
      <c r="CE20" s="74">
        <v>9.3000000000000007</v>
      </c>
      <c r="CF20" s="75">
        <v>309</v>
      </c>
      <c r="CH20" s="72">
        <f t="shared" si="13"/>
        <v>1861.0787758337208</v>
      </c>
      <c r="CI20" s="73">
        <v>2</v>
      </c>
      <c r="CJ20" s="73">
        <f t="shared" si="14"/>
        <v>512.39689767764958</v>
      </c>
      <c r="CK20" s="73">
        <v>2</v>
      </c>
      <c r="CL20" s="74">
        <v>42.99363224187082</v>
      </c>
      <c r="CM20" s="74">
        <v>9.3000000000000007</v>
      </c>
      <c r="CN20" s="75">
        <v>309</v>
      </c>
      <c r="CO20" s="72">
        <f t="shared" si="15"/>
        <v>2791.6181637505811</v>
      </c>
      <c r="CP20" s="73">
        <v>2</v>
      </c>
      <c r="CQ20" s="73">
        <f t="shared" si="16"/>
        <v>563.63658744541453</v>
      </c>
      <c r="CR20" s="73">
        <v>2</v>
      </c>
      <c r="CS20" s="74">
        <v>42.99363224187082</v>
      </c>
      <c r="CT20" s="74">
        <v>9.3000000000000007</v>
      </c>
      <c r="CU20" s="75">
        <v>309</v>
      </c>
      <c r="CW20" s="49">
        <f t="shared" si="3"/>
        <v>1</v>
      </c>
      <c r="CX20" s="49">
        <f t="shared" si="17"/>
        <v>224.28014109231404</v>
      </c>
      <c r="CY20" s="263">
        <f t="shared" si="18"/>
        <v>0</v>
      </c>
      <c r="CZ20" s="49">
        <f t="shared" si="19"/>
        <v>1</v>
      </c>
    </row>
    <row r="21" spans="2:104" ht="15" x14ac:dyDescent="0.25">
      <c r="B21" s="33">
        <v>1</v>
      </c>
      <c r="C21" s="3">
        <v>10</v>
      </c>
      <c r="D21" s="27">
        <f>(X21*($T$11^$Q21))*Watts*CF_Altit</f>
        <v>1591.6107259404453</v>
      </c>
      <c r="E21" s="3">
        <f>ROUND(((D21/Watts)/(($S$9-$S$10)*1.163))*$E$14,IF($X$4=1,0,IF($X$4=2,2)))</f>
        <v>137</v>
      </c>
      <c r="F21" s="30">
        <f>($Y$18*(E21/$E$14)^$Y$20)*$F$14</f>
        <v>0.25671634719537284</v>
      </c>
      <c r="G21" s="4">
        <f>(Z21*($W$11^R21))*Watts*CF_Altit</f>
        <v>271.44368359539482</v>
      </c>
      <c r="H21" s="4">
        <f>((G21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21+0.001448)*(Tl_cool-Tavg_cold)+(0.016908*$C21-0.033574))*1.039&gt;1,1,1/(1+((2258*((0.622/(($Z$11/(1*611*EXP(17.27*(Tavg_cold/(Tavg_cold+237.3))))))-1)*1000-(0.622/(($Z$11/(RH*611*EXP(17.27*(Tl_cool/(Tl_cool+237.3))))))-1)*1000))/(1005*(Tavg_cold-Tl_cool))))*1.039+((-0.000729*$C21+0.001448)*(Tl_cool-Tavg_cold)+(0.016908*$C21-0.033574))*1.039))))*Watts</f>
        <v>271.44368359539482</v>
      </c>
      <c r="I21" s="3">
        <f>ROUND(((H21/Watts)/((Tr_cool-Tv_cool)*1.163))*$I$14,IF($X$4=1,0,IF($X$4=2,2)))</f>
        <v>117</v>
      </c>
      <c r="J21" s="5">
        <f>($AA$18*(I21/$I$14)^$AA$20)*$J$14</f>
        <v>0.18957342604976077</v>
      </c>
      <c r="K21" s="59">
        <f>L21-8</f>
        <v>38</v>
      </c>
      <c r="L21" s="53">
        <f t="shared" si="0"/>
        <v>46</v>
      </c>
      <c r="M21" s="46">
        <f t="shared" si="0"/>
        <v>7.6</v>
      </c>
      <c r="N21" s="64">
        <f>AD21*Cubics</f>
        <v>137</v>
      </c>
      <c r="O21" s="253">
        <f>((($D21/Watts)/(((p_atm*0.028964)/(8.31447*(20+273.15)))*(($N21/3600)/Cubics)*(1005+1870*((0.622)/(((p_atm)/($E$12*Pvs_Heat_in))-1)))))+Tl_heat)*Celc1+Celc2</f>
        <v>54.101389737794449</v>
      </c>
      <c r="P21" s="254">
        <f>(Tl_cool-(($G21/Watts)/(1006*$N21*kgss)))*Celc1+Celc2</f>
        <v>21.111058960015022</v>
      </c>
      <c r="Q21" s="220">
        <v>1</v>
      </c>
      <c r="R21" s="113">
        <f t="shared" si="4"/>
        <v>0.77110000000000001</v>
      </c>
      <c r="S21" s="113">
        <v>0.91</v>
      </c>
      <c r="T21" s="113">
        <v>0.98</v>
      </c>
      <c r="U21" s="113">
        <v>0.77110000000000001</v>
      </c>
      <c r="V21" s="144">
        <v>0.91110000000000002</v>
      </c>
      <c r="W21" s="171">
        <f>(H21-G21)/H21</f>
        <v>0</v>
      </c>
      <c r="X21" s="127">
        <f t="shared" si="5"/>
        <v>1591.6107259404453</v>
      </c>
      <c r="Y21" s="128">
        <f t="shared" si="6"/>
        <v>0</v>
      </c>
      <c r="Z21" s="129">
        <f t="shared" si="7"/>
        <v>271.44368359539482</v>
      </c>
      <c r="AA21" s="128">
        <f t="shared" si="8"/>
        <v>0</v>
      </c>
      <c r="AB21" s="130">
        <f t="shared" si="9"/>
        <v>46</v>
      </c>
      <c r="AC21" s="130">
        <f t="shared" si="10"/>
        <v>7.6</v>
      </c>
      <c r="AD21" s="129">
        <f t="shared" si="11"/>
        <v>137</v>
      </c>
      <c r="AE21" s="127">
        <v>1075</v>
      </c>
      <c r="AF21" s="128"/>
      <c r="AG21" s="129">
        <v>185</v>
      </c>
      <c r="AH21" s="128"/>
      <c r="AI21" s="130">
        <v>42</v>
      </c>
      <c r="AJ21" s="130">
        <v>3</v>
      </c>
      <c r="AK21" s="129">
        <v>79</v>
      </c>
      <c r="AL21" s="127">
        <f>AE21</f>
        <v>1075</v>
      </c>
      <c r="AM21" s="128"/>
      <c r="AN21" s="129">
        <v>185</v>
      </c>
      <c r="AO21" s="128"/>
      <c r="AP21" s="130">
        <f t="shared" si="12"/>
        <v>42</v>
      </c>
      <c r="AQ21" s="130">
        <f t="shared" si="12"/>
        <v>3</v>
      </c>
      <c r="AR21" s="131">
        <f t="shared" si="12"/>
        <v>79</v>
      </c>
      <c r="AS21" s="124"/>
      <c r="AT21" s="1">
        <f>(AG21*((((Tv_cool-Tr_cool)/LN((Tv_cool-Tl_cool)/(Tr_cool-Tl_cool)))/((16-18)/LN((16-27)/(18-27))))^S21))*$G$14</f>
        <v>6.1872222222222141E-2</v>
      </c>
      <c r="AU21" s="1">
        <f>((AT21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21+0.00625)*(Tl_cool-(Tv_cool+Tr_cool)/2)-(-0.000625*$C21+0.00625)*10))))*$H$14</f>
        <v>185</v>
      </c>
      <c r="AV21" s="73"/>
      <c r="AW21" s="186">
        <v>1126</v>
      </c>
      <c r="AX21" s="187"/>
      <c r="AY21" s="188">
        <v>214</v>
      </c>
      <c r="AZ21" s="187"/>
      <c r="BA21" s="189">
        <v>46</v>
      </c>
      <c r="BB21" s="189">
        <v>7.7</v>
      </c>
      <c r="BC21" s="190">
        <v>147</v>
      </c>
      <c r="BD21" s="76">
        <v>1052.6671499999998</v>
      </c>
      <c r="BE21" s="77"/>
      <c r="BF21" s="78">
        <v>267.29675877460949</v>
      </c>
      <c r="BG21" s="77"/>
      <c r="BH21" s="79">
        <v>46</v>
      </c>
      <c r="BI21" s="79">
        <v>7.6</v>
      </c>
      <c r="BJ21" s="80">
        <v>137</v>
      </c>
      <c r="BK21" s="76">
        <v>1591.6107259404453</v>
      </c>
      <c r="BL21" s="77"/>
      <c r="BM21" s="78">
        <v>271.44368359539482</v>
      </c>
      <c r="BN21" s="77"/>
      <c r="BO21" s="79">
        <f>BH21</f>
        <v>46</v>
      </c>
      <c r="BP21" s="79">
        <f t="shared" si="2"/>
        <v>7.6</v>
      </c>
      <c r="BQ21" s="80">
        <f t="shared" si="2"/>
        <v>137</v>
      </c>
      <c r="BR21" s="73"/>
      <c r="BS21" s="76">
        <v>2395.0400407465454</v>
      </c>
      <c r="BT21" s="77"/>
      <c r="BU21" s="78">
        <v>706.32471688782903</v>
      </c>
      <c r="BV21" s="77"/>
      <c r="BW21" s="79">
        <v>47.999307043688582</v>
      </c>
      <c r="BX21" s="79">
        <v>15</v>
      </c>
      <c r="BY21" s="80">
        <v>351</v>
      </c>
      <c r="BZ21" s="76">
        <v>3592.5600611198183</v>
      </c>
      <c r="CA21" s="77"/>
      <c r="CB21" s="78">
        <v>776.95718857661211</v>
      </c>
      <c r="CC21" s="77"/>
      <c r="CD21" s="79">
        <v>47.999307043688582</v>
      </c>
      <c r="CE21" s="79">
        <v>15</v>
      </c>
      <c r="CF21" s="80">
        <v>351</v>
      </c>
      <c r="CH21" s="76">
        <f t="shared" si="13"/>
        <v>2155.536036671891</v>
      </c>
      <c r="CI21" s="77"/>
      <c r="CJ21" s="78">
        <f t="shared" si="14"/>
        <v>635.69224519904617</v>
      </c>
      <c r="CK21" s="77"/>
      <c r="CL21" s="79">
        <v>47.999307043688582</v>
      </c>
      <c r="CM21" s="79">
        <v>15</v>
      </c>
      <c r="CN21" s="80">
        <v>351</v>
      </c>
      <c r="CO21" s="76">
        <f t="shared" si="15"/>
        <v>3233.3040550078367</v>
      </c>
      <c r="CP21" s="77"/>
      <c r="CQ21" s="78">
        <f t="shared" si="16"/>
        <v>699.26146971895093</v>
      </c>
      <c r="CR21" s="77"/>
      <c r="CS21" s="79">
        <v>47.999307043688582</v>
      </c>
      <c r="CT21" s="79">
        <v>15</v>
      </c>
      <c r="CU21" s="80">
        <v>351</v>
      </c>
      <c r="CW21" s="49">
        <f t="shared" si="3"/>
        <v>1</v>
      </c>
      <c r="CX21" s="49">
        <f t="shared" si="17"/>
        <v>271.44368359539482</v>
      </c>
      <c r="CY21" s="263">
        <f t="shared" si="18"/>
        <v>0</v>
      </c>
      <c r="CZ21" s="49">
        <f t="shared" si="19"/>
        <v>1</v>
      </c>
    </row>
    <row r="22" spans="2:104" ht="16.899999999999999" customHeight="1" x14ac:dyDescent="0.25">
      <c r="B22" s="326" t="str">
        <f>IF($S$7=1,NL!A21,IF(cal!$S$7=2,EN!A21,IF(cal!$S$7=3,DE!A21,IF(cal!$S$7=4,FR!A21,IF(cal!$S$7=5,NR!A21,IF(cal!$S$7=6,SP!A21,IF(cal!$S$7=7,SW!A21,IF(cal!$S$7=8,TS!A21,IF(cal!$S$7=9,ExtraTaal1!A21,IF(cal!$S$7=10,ExtraTaal2!A21,IF(cal!$S$7=11,ExtraTaal3!A21,)))))))))))</f>
        <v>Clima Canal height 13 cm width 32 cm length 100 cm (Type 2)</v>
      </c>
      <c r="C22" s="327">
        <f>IF($S$7=1,NL!B21,IF(cal!$S$7=2,EN!B21,IF(cal!$S$7=3,DE!B21,IF(cal!$S$7=4,FR!B21,IF(cal!$S$7=5,NR!B21,IF(cal!$S$7=6,SP!B21,IF(cal!$S$7=7,SW!B21,IF(cal!$S$7=8,TS!B21,IF(cal!$S$7=9,ExtraTaal1!B21,IF(cal!$S$7=10,ExtraTaal2!B21,IF(cal!$S$7=11,ExtraTaal3!B21,)))))))))))</f>
        <v>0</v>
      </c>
      <c r="D22" s="327">
        <f>IF($S$7=1,NL!C21,IF(cal!$S$7=2,EN!C21,IF(cal!$S$7=3,DE!C21,IF(cal!$S$7=4,FR!C21,IF(cal!$S$7=5,NR!C21,IF(cal!$S$7=6,SP!C21,IF(cal!$S$7=7,SW!C21,IF(cal!$S$7=8,TS!C21,IF(cal!$S$7=9,ExtraTaal1!C21,IF(cal!$S$7=10,ExtraTaal2!C21,IF(cal!$S$7=11,ExtraTaal3!C21,)))))))))))</f>
        <v>0</v>
      </c>
      <c r="E22" s="327">
        <f>IF($S$7=1,NL!D21,IF(cal!$S$7=2,EN!D21,IF(cal!$S$7=3,DE!D21,IF(cal!$S$7=4,FR!D21,IF(cal!$S$7=5,NR!D21,IF(cal!$S$7=6,SP!D21,IF(cal!$S$7=7,SW!D21,IF(cal!$S$7=8,TS!D21,IF(cal!$S$7=9,ExtraTaal1!D21,IF(cal!$S$7=10,ExtraTaal2!D21,IF(cal!$S$7=11,ExtraTaal3!D21,)))))))))))</f>
        <v>0</v>
      </c>
      <c r="F22" s="327">
        <f>IF($S$7=1,NL!E21,IF(cal!$S$7=2,EN!E21,IF(cal!$S$7=3,DE!E21,IF(cal!$S$7=4,FR!E21,IF(cal!$S$7=5,NR!E21,IF(cal!$S$7=6,SP!E21,IF(cal!$S$7=7,SW!E21,IF(cal!$S$7=8,TS!E21,IF(cal!$S$7=9,ExtraTaal1!E21,IF(cal!$S$7=10,ExtraTaal2!E21,IF(cal!$S$7=11,ExtraTaal3!E21,)))))))))))</f>
        <v>0</v>
      </c>
      <c r="G22" s="327">
        <f>IF($S$7=1,NL!F21,IF(cal!$S$7=2,EN!F21,IF(cal!$S$7=3,DE!F21,IF(cal!$S$7=4,FR!F21,IF(cal!$S$7=5,NR!F21,IF(cal!$S$7=6,SP!F21,IF(cal!$S$7=7,SW!F21,IF(cal!$S$7=8,TS!F21,IF(cal!$S$7=9,ExtraTaal1!F21,IF(cal!$S$7=10,ExtraTaal2!F21,IF(cal!$S$7=11,ExtraTaal3!F21,)))))))))))</f>
        <v>0</v>
      </c>
      <c r="H22" s="327">
        <f>IF($S$7=1,NL!G21,IF(cal!$S$7=2,EN!G21,IF(cal!$S$7=3,DE!G21,IF(cal!$S$7=4,FR!G21,IF(cal!$S$7=5,NR!G21,IF(cal!$S$7=6,SP!G21,IF(cal!$S$7=7,SW!G21,IF(cal!$S$7=8,TS!G21,IF(cal!$S$7=9,ExtraTaal1!G21,IF(cal!$S$7=10,ExtraTaal2!G21,IF(cal!$S$7=11,ExtraTaal3!G21,)))))))))))</f>
        <v>0</v>
      </c>
      <c r="I22" s="327">
        <f>IF($S$7=1,NL!H21,IF(cal!$S$7=2,EN!H21,IF(cal!$S$7=3,DE!H21,IF(cal!$S$7=4,FR!H21,IF(cal!$S$7=5,NR!H21,IF(cal!$S$7=6,SP!H21,IF(cal!$S$7=7,SW!H21,IF(cal!$S$7=8,TS!H21,IF(cal!$S$7=9,ExtraTaal1!H21,IF(cal!$S$7=10,ExtraTaal2!H21,IF(cal!$S$7=11,ExtraTaal3!H21,)))))))))))</f>
        <v>0</v>
      </c>
      <c r="J22" s="327">
        <f>IF($S$7=1,NL!I21,IF(cal!$S$7=2,EN!I21,IF(cal!$S$7=3,DE!I21,IF(cal!$S$7=4,FR!I21,IF(cal!$S$7=5,NR!I21,IF(cal!$S$7=6,SP!I21,IF(cal!$S$7=7,SW!I21,IF(cal!$S$7=8,TS!I21,IF(cal!$S$7=9,ExtraTaal1!I21,IF(cal!$S$7=10,ExtraTaal2!I21,IF(cal!$S$7=11,ExtraTaal3!I21,)))))))))))</f>
        <v>0</v>
      </c>
      <c r="K22" s="327">
        <f>IF($S$7=1,NL!J21,IF(cal!$S$7=2,EN!J21,IF(cal!$S$7=3,DE!J21,IF(cal!$S$7=4,FR!J21,IF(cal!$S$7=5,NR!J21,IF(cal!$S$7=6,SP!J21,IF(cal!$S$7=7,SW!J21,IF(cal!$S$7=8,TS!J21,IF(cal!$S$7=9,ExtraTaal1!J21,IF(cal!$S$7=10,ExtraTaal2!J21,IF(cal!$S$7=11,ExtraTaal3!J21,)))))))))))</f>
        <v>0</v>
      </c>
      <c r="L22" s="327">
        <f>IF($S$7=1,NL!K21,IF(cal!$S$7=2,EN!K21,IF(cal!$S$7=3,DE!K21,IF(cal!$S$7=4,FR!K21,IF(cal!$S$7=5,NR!K21,IF(cal!$S$7=6,SP!K21,IF(cal!$S$7=7,SW!K21,IF(cal!$S$7=8,TS!K21,IF(cal!$S$7=9,ExtraTaal1!K21,IF(cal!$S$7=10,ExtraTaal2!K21,IF(cal!$S$7=11,ExtraTaal3!K21,)))))))))))</f>
        <v>0</v>
      </c>
      <c r="M22" s="327">
        <f>IF($S$7=1,NL!L21,IF(cal!$S$7=2,EN!L21,IF(cal!$S$7=3,DE!L21,IF(cal!$S$7=4,FR!L21,IF(cal!$S$7=5,NR!L21,IF(cal!$S$7=6,SP!L21,IF(cal!$S$7=7,SW!L21,IF(cal!$S$7=8,TS!L21,IF(cal!$S$7=9,ExtraTaal1!L21,IF(cal!$S$7=10,ExtraTaal2!L21,IF(cal!$S$7=11,ExtraTaal3!L21,)))))))))))</f>
        <v>0</v>
      </c>
      <c r="N22" s="327">
        <f>IF($S$7=1,NL!M21,IF(cal!$S$7=2,EN!M21,IF(cal!$S$7=3,DE!M21,IF(cal!$S$7=4,FR!M21,IF(cal!$S$7=5,NR!M21,IF(cal!$S$7=6,SP!M21,IF(cal!$S$7=7,SW!M21,IF(cal!$S$7=8,TS!M21,IF(cal!$S$7=9,ExtraTaal1!M21,IF(cal!$S$7=10,ExtraTaal2!M21,IF(cal!$S$7=11,ExtraTaal3!M21,)))))))))))</f>
        <v>0</v>
      </c>
      <c r="O22" s="327">
        <f>IF($S$7=1,NL!N21,IF(cal!$S$7=2,EN!N21,IF(cal!$S$7=3,DE!N21,IF(cal!$S$7=4,FR!N21,IF(cal!$S$7=5,NR!N21,IF(cal!$S$7=6,SP!N21,IF(cal!$S$7=7,SW!N21,IF(cal!$S$7=8,TS!N21,IF(cal!$S$7=9,ExtraTaal1!N21,IF(cal!$S$7=10,ExtraTaal2!N21,IF(cal!$S$7=11,ExtraTaal3!N21,)))))))))))</f>
        <v>0</v>
      </c>
      <c r="P22" s="328">
        <f>IF($S$7=1,NL!O21,IF(cal!$S$7=2,EN!O21,IF(cal!$S$7=3,DE!O21,IF(cal!$S$7=4,FR!O21,IF(cal!$S$7=5,NR!O21,IF(cal!$S$7=6,SP!O21,IF(cal!$S$7=7,SW!O21,IF(cal!$S$7=8,TS!O21,IF(cal!$S$7=9,ExtraTaal1!O21,IF(cal!$S$7=10,ExtraTaal2!O21,IF(cal!$S$7=11,ExtraTaal3!O21,)))))))))))</f>
        <v>0</v>
      </c>
      <c r="Q22" s="207" t="s">
        <v>11</v>
      </c>
      <c r="R22" s="113" t="str">
        <f t="shared" si="4"/>
        <v>n-value</v>
      </c>
      <c r="S22" s="114" t="s">
        <v>11</v>
      </c>
      <c r="T22" s="113" t="s">
        <v>11</v>
      </c>
      <c r="U22" s="52" t="s">
        <v>11</v>
      </c>
      <c r="V22" s="52" t="s">
        <v>11</v>
      </c>
      <c r="W22" s="171"/>
      <c r="X22" s="132" t="str">
        <f t="shared" si="5"/>
        <v>H</v>
      </c>
      <c r="Y22" s="133">
        <f t="shared" si="6"/>
        <v>13</v>
      </c>
      <c r="Z22" s="132" t="str">
        <f t="shared" si="7"/>
        <v>B</v>
      </c>
      <c r="AA22" s="133">
        <f t="shared" si="8"/>
        <v>32</v>
      </c>
      <c r="AB22" s="132" t="str">
        <f t="shared" si="9"/>
        <v>L</v>
      </c>
      <c r="AC22" s="134">
        <f t="shared" si="10"/>
        <v>70</v>
      </c>
      <c r="AD22" s="135">
        <f t="shared" si="11"/>
        <v>0</v>
      </c>
      <c r="AE22" s="132" t="s">
        <v>61</v>
      </c>
      <c r="AF22" s="133">
        <f>ROUND(8*IF($X$4=1,1,IF($X$4=2,1/2.54)),1)</f>
        <v>8</v>
      </c>
      <c r="AG22" s="132" t="s">
        <v>62</v>
      </c>
      <c r="AH22" s="133">
        <f>ROUND(18*IF($X$4=1,1,IF($X$4=2,1/2.54)),1)</f>
        <v>18</v>
      </c>
      <c r="AI22" s="132" t="s">
        <v>63</v>
      </c>
      <c r="AJ22" s="134">
        <f>72*IF($X$4=1,1,IF($X$4=2,1/2.54))</f>
        <v>72</v>
      </c>
      <c r="AK22" s="135"/>
      <c r="AL22" s="132" t="s">
        <v>61</v>
      </c>
      <c r="AM22" s="133">
        <f>ROUND(10*IF($X$4=1,1,IF($X$4=2,1/2.54)),1)</f>
        <v>10</v>
      </c>
      <c r="AN22" s="132" t="s">
        <v>62</v>
      </c>
      <c r="AO22" s="133">
        <f>AH22</f>
        <v>18</v>
      </c>
      <c r="AP22" s="132" t="s">
        <v>63</v>
      </c>
      <c r="AQ22" s="136">
        <f>AJ22</f>
        <v>72</v>
      </c>
      <c r="AR22" s="135"/>
      <c r="AS22" s="140"/>
      <c r="AT22" s="1"/>
      <c r="AU22" s="1"/>
      <c r="AV22" s="86"/>
      <c r="AW22" s="191" t="s">
        <v>61</v>
      </c>
      <c r="AX22" s="192">
        <f>ROUND(IF($X$4=1,13,13/2.54),1)</f>
        <v>13</v>
      </c>
      <c r="AY22" s="191" t="s">
        <v>62</v>
      </c>
      <c r="AZ22" s="192">
        <f>ROUND(IF($X$4=1,27,27/2.54),1)</f>
        <v>27</v>
      </c>
      <c r="BA22" s="191" t="s">
        <v>63</v>
      </c>
      <c r="BB22" s="192">
        <f>IF($X$4=1,79.8,79.8/2.54)</f>
        <v>79.8</v>
      </c>
      <c r="BC22" s="193"/>
      <c r="BD22" s="83" t="s">
        <v>61</v>
      </c>
      <c r="BE22" s="84">
        <f>ROUND(IF($X$4=1,13,13/2.54),1)</f>
        <v>13</v>
      </c>
      <c r="BF22" s="83" t="s">
        <v>62</v>
      </c>
      <c r="BG22" s="84">
        <f>ROUND(IF($X$4=1,32,32/2.54),1)</f>
        <v>32</v>
      </c>
      <c r="BH22" s="83" t="s">
        <v>63</v>
      </c>
      <c r="BI22" s="84">
        <f>IF($X$4=1,70,70/2.54)</f>
        <v>70</v>
      </c>
      <c r="BJ22" s="82"/>
      <c r="BK22" s="83" t="s">
        <v>61</v>
      </c>
      <c r="BL22" s="84">
        <f>ROUND(IF($X$4=1,13,13/2.54),1)</f>
        <v>13</v>
      </c>
      <c r="BM22" s="83" t="s">
        <v>62</v>
      </c>
      <c r="BN22" s="84">
        <f>ROUND(IF($X$4=1,32,32/2.54),1)</f>
        <v>32</v>
      </c>
      <c r="BO22" s="83" t="s">
        <v>63</v>
      </c>
      <c r="BP22" s="84">
        <f>IF($X$4=1,70,70/2.54)</f>
        <v>70</v>
      </c>
      <c r="BQ22" s="82"/>
      <c r="BR22" s="86"/>
      <c r="BS22" s="83" t="s">
        <v>61</v>
      </c>
      <c r="BT22" s="84">
        <f>ROUND(19*IF($X$4=1,1,IF($X$4=2,1/2.54)),1)</f>
        <v>19</v>
      </c>
      <c r="BU22" s="83" t="s">
        <v>62</v>
      </c>
      <c r="BV22" s="84">
        <f>ROUND(34*IF($X$4=1,1,IF($X$4=2,1/2.54)),1)</f>
        <v>34</v>
      </c>
      <c r="BW22" s="83" t="s">
        <v>63</v>
      </c>
      <c r="BX22" s="141">
        <f>105*IF($X$4=1,1,IF($X$4=2,1/2.54))</f>
        <v>105</v>
      </c>
      <c r="BY22" s="82"/>
      <c r="BZ22" s="83" t="s">
        <v>61</v>
      </c>
      <c r="CA22" s="84">
        <f>BT22</f>
        <v>19</v>
      </c>
      <c r="CB22" s="83" t="s">
        <v>62</v>
      </c>
      <c r="CC22" s="84">
        <f>BV22</f>
        <v>34</v>
      </c>
      <c r="CD22" s="83" t="s">
        <v>63</v>
      </c>
      <c r="CE22" s="142">
        <f>BX22</f>
        <v>105</v>
      </c>
      <c r="CF22" s="82"/>
      <c r="CH22" s="83" t="s">
        <v>61</v>
      </c>
      <c r="CI22" s="84">
        <v>15</v>
      </c>
      <c r="CJ22" s="83" t="s">
        <v>62</v>
      </c>
      <c r="CK22" s="84">
        <v>32</v>
      </c>
      <c r="CL22" s="83" t="s">
        <v>63</v>
      </c>
      <c r="CM22" s="141">
        <f>105*IF($X$4=1,1,IF($X$4=2,1/2.54))</f>
        <v>105</v>
      </c>
      <c r="CN22" s="82"/>
      <c r="CO22" s="83" t="s">
        <v>61</v>
      </c>
      <c r="CP22" s="84">
        <f>CI22</f>
        <v>15</v>
      </c>
      <c r="CQ22" s="83" t="s">
        <v>62</v>
      </c>
      <c r="CR22" s="84">
        <f>CK22</f>
        <v>32</v>
      </c>
      <c r="CS22" s="83" t="s">
        <v>63</v>
      </c>
      <c r="CT22" s="142">
        <f>CM22</f>
        <v>105</v>
      </c>
      <c r="CU22" s="82"/>
      <c r="CW22" s="49">
        <f t="shared" si="3"/>
        <v>1</v>
      </c>
      <c r="CX22" s="49">
        <f t="shared" si="17"/>
        <v>0</v>
      </c>
      <c r="CY22" s="263">
        <f t="shared" si="18"/>
        <v>0</v>
      </c>
      <c r="CZ22" s="49">
        <f t="shared" si="19"/>
        <v>1</v>
      </c>
    </row>
    <row r="23" spans="2:104" ht="15" x14ac:dyDescent="0.25">
      <c r="B23" s="33">
        <v>0.2</v>
      </c>
      <c r="C23" s="3">
        <v>2</v>
      </c>
      <c r="D23" s="27">
        <f>(X23*($T$11^$Q23))*Watts*CF_Altit</f>
        <v>592.88313024394665</v>
      </c>
      <c r="E23" s="3">
        <f>ROUND(((D23/Watts)/(($S$9-$S$10)*1.163))*$E$14,IF($X$4=1,0,IF($X$4=2,2)))</f>
        <v>51</v>
      </c>
      <c r="F23" s="30">
        <f>($Y$24*(E23/$E$14)^$Y$26)*$F$14</f>
        <v>4.9749049417933157E-2</v>
      </c>
      <c r="G23" s="4">
        <f>(Z23*($W$11^R23))*Watts*CF_Altit</f>
        <v>127.58073482846659</v>
      </c>
      <c r="H23" s="4">
        <f>((G23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23+0.001448)*(Tl_cool-Tavg_cold)+(0.016908*$C23-0.033574))*1.039&gt;1,1,1/(1+((2258*((0.622/(($Z$11/(1*611*EXP(17.27*(Tavg_cold/(Tavg_cold+237.3))))))-1)*1000-(0.622/(($Z$11/(RH*611*EXP(17.27*(Tl_cool/(Tl_cool+237.3))))))-1)*1000))/(1005*(Tavg_cold-Tl_cool))))*1.039+((-0.000729*$C23+0.001448)*(Tl_cool-Tavg_cold)+(0.016908*$C23-0.033574))*1.039))))*Watts</f>
        <v>127.58073482846659</v>
      </c>
      <c r="I23" s="3">
        <f>ROUND(((H23/Watts)/((Tr_cool-Tv_cool)*1.163))*$I$14,IF($X$4=1,0,IF($X$4=2,2)))</f>
        <v>55</v>
      </c>
      <c r="J23" s="5">
        <f>($AA$24*(I23/$I$14)^$AA$26)*$J$14</f>
        <v>5.7381658640042632E-2</v>
      </c>
      <c r="K23" s="59">
        <f>L23-8</f>
        <v>20</v>
      </c>
      <c r="L23" s="53">
        <f t="shared" ref="L23:M27" si="20">AB23</f>
        <v>28</v>
      </c>
      <c r="M23" s="46">
        <f t="shared" si="20"/>
        <v>1</v>
      </c>
      <c r="N23" s="64">
        <f>AD23*Cubics</f>
        <v>44</v>
      </c>
      <c r="O23" s="251">
        <f>((($D23/Watts)/(((p_atm*0.028964)/(8.31447*(20+273.15)))*(($N23/3600)/Cubics)*(1005+1870*((0.622)/(((p_atm)/($E$12*Pvs_Heat_in))-1)))))+Tl_heat)*Celc1+Celc2</f>
        <v>59.552342048747718</v>
      </c>
      <c r="P23" s="252">
        <f>(Tl_cool-(($G23/Watts)/(1006*$N23*kgss)))*Celc1+Celc2</f>
        <v>18.381921297222696</v>
      </c>
      <c r="Q23" s="220">
        <v>1</v>
      </c>
      <c r="R23" s="113">
        <f t="shared" si="4"/>
        <v>0.78069999999999995</v>
      </c>
      <c r="S23" s="113">
        <v>0.6</v>
      </c>
      <c r="T23" s="113">
        <v>1.1599999999999999</v>
      </c>
      <c r="U23" s="113">
        <v>0.78069999999999995</v>
      </c>
      <c r="V23" s="144">
        <v>0.87660000000000005</v>
      </c>
      <c r="W23" s="171">
        <f>(H23-G23)/H23</f>
        <v>0</v>
      </c>
      <c r="X23" s="118">
        <f t="shared" si="5"/>
        <v>592.88313024394665</v>
      </c>
      <c r="Y23" s="119" t="str">
        <f t="shared" si="6"/>
        <v>a</v>
      </c>
      <c r="Z23" s="120">
        <f>IF($X$16=1,AG23,IF($X$16=2,AN23,IF($X$16=3,BM23,IF($X$16=4,BF23,IF($X$16=5,CB23,IF($X$16=6,BU23,IF($X$16=7,AY23,IF($X$16=9,CJ23,IF($X$16=8,CQ23,)))))))))</f>
        <v>127.58073482846659</v>
      </c>
      <c r="AA23" s="119" t="str">
        <f t="shared" si="8"/>
        <v>a</v>
      </c>
      <c r="AB23" s="121">
        <f t="shared" si="9"/>
        <v>28</v>
      </c>
      <c r="AC23" s="121">
        <f t="shared" si="10"/>
        <v>1</v>
      </c>
      <c r="AD23" s="122">
        <f t="shared" si="11"/>
        <v>44</v>
      </c>
      <c r="AE23" s="118">
        <v>569</v>
      </c>
      <c r="AF23" s="119" t="s">
        <v>49</v>
      </c>
      <c r="AG23" s="120">
        <v>62</v>
      </c>
      <c r="AH23" s="119" t="s">
        <v>49</v>
      </c>
      <c r="AI23" s="121">
        <v>23</v>
      </c>
      <c r="AJ23" s="121">
        <v>0.6</v>
      </c>
      <c r="AK23" s="122">
        <v>42</v>
      </c>
      <c r="AL23" s="118">
        <f>AE23</f>
        <v>569</v>
      </c>
      <c r="AM23" s="119" t="s">
        <v>49</v>
      </c>
      <c r="AN23" s="120">
        <v>62</v>
      </c>
      <c r="AO23" s="119" t="s">
        <v>49</v>
      </c>
      <c r="AP23" s="121">
        <f t="shared" ref="AP23:AR27" si="21">AI23</f>
        <v>23</v>
      </c>
      <c r="AQ23" s="121">
        <f t="shared" si="21"/>
        <v>0.6</v>
      </c>
      <c r="AR23" s="122">
        <f t="shared" si="21"/>
        <v>42</v>
      </c>
      <c r="AS23" s="124"/>
      <c r="AT23" s="1">
        <f>(AG23*((((Tv_cool-Tr_cool)/LN((Tv_cool-Tl_cool)/(Tr_cool-Tl_cool)))/((16-18)/LN((16-27)/(18-27))))^S23))*$G$14</f>
        <v>2.0735555555555528E-2</v>
      </c>
      <c r="AU23" s="1">
        <f>((AT23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23+0.00625)*(Tl_cool-(Tv_cool+Tr_cool)/2)-(-0.000625*$C23+0.00625)*10))))*$H$14</f>
        <v>62</v>
      </c>
      <c r="AV23" s="73"/>
      <c r="AW23" s="177">
        <v>622</v>
      </c>
      <c r="AX23" s="178" t="s">
        <v>49</v>
      </c>
      <c r="AY23" s="179">
        <v>71</v>
      </c>
      <c r="AZ23" s="178" t="s">
        <v>49</v>
      </c>
      <c r="BA23" s="180">
        <v>27</v>
      </c>
      <c r="BB23" s="180">
        <v>1</v>
      </c>
      <c r="BC23" s="181">
        <v>52</v>
      </c>
      <c r="BD23" s="67">
        <v>508.62102999999996</v>
      </c>
      <c r="BE23" s="68" t="s">
        <v>49</v>
      </c>
      <c r="BF23" s="69">
        <v>122.49530580621254</v>
      </c>
      <c r="BG23" s="68" t="s">
        <v>49</v>
      </c>
      <c r="BH23" s="70">
        <v>28</v>
      </c>
      <c r="BI23" s="70">
        <v>1</v>
      </c>
      <c r="BJ23" s="71">
        <v>44</v>
      </c>
      <c r="BK23" s="67">
        <v>592.88313024394665</v>
      </c>
      <c r="BL23" s="68" t="s">
        <v>49</v>
      </c>
      <c r="BM23" s="69">
        <v>127.58073482846659</v>
      </c>
      <c r="BN23" s="68" t="s">
        <v>49</v>
      </c>
      <c r="BO23" s="70">
        <f t="shared" ref="BO23:BQ27" si="22">BH23</f>
        <v>28</v>
      </c>
      <c r="BP23" s="70">
        <f t="shared" si="22"/>
        <v>1</v>
      </c>
      <c r="BQ23" s="71">
        <f t="shared" si="22"/>
        <v>44</v>
      </c>
      <c r="BR23" s="73"/>
      <c r="BS23" s="67">
        <v>1031.6962644250227</v>
      </c>
      <c r="BT23" s="68" t="s">
        <v>49</v>
      </c>
      <c r="BU23" s="69">
        <v>185.33145545295611</v>
      </c>
      <c r="BV23" s="68" t="s">
        <v>49</v>
      </c>
      <c r="BW23" s="70">
        <v>26.98962805075108</v>
      </c>
      <c r="BX23" s="70">
        <v>3.2</v>
      </c>
      <c r="BY23" s="71">
        <v>82</v>
      </c>
      <c r="BZ23" s="67">
        <v>1547.5443966375344</v>
      </c>
      <c r="CA23" s="68" t="s">
        <v>49</v>
      </c>
      <c r="CB23" s="69">
        <v>203.86460099825175</v>
      </c>
      <c r="CC23" s="68" t="s">
        <v>49</v>
      </c>
      <c r="CD23" s="70">
        <v>26.98962805075108</v>
      </c>
      <c r="CE23" s="70">
        <v>3.2</v>
      </c>
      <c r="CF23" s="71">
        <v>82</v>
      </c>
      <c r="CH23" s="67">
        <f>BS23*0.9</f>
        <v>928.52663798252047</v>
      </c>
      <c r="CI23" s="68" t="s">
        <v>49</v>
      </c>
      <c r="CJ23" s="69">
        <f>BU23*0.9</f>
        <v>166.7983099076605</v>
      </c>
      <c r="CK23" s="68" t="s">
        <v>49</v>
      </c>
      <c r="CL23" s="70">
        <v>26.98962805075108</v>
      </c>
      <c r="CM23" s="70">
        <v>3.2</v>
      </c>
      <c r="CN23" s="71">
        <v>82</v>
      </c>
      <c r="CO23" s="67">
        <f>BZ23*0.9</f>
        <v>1392.789956973781</v>
      </c>
      <c r="CP23" s="68" t="s">
        <v>49</v>
      </c>
      <c r="CQ23" s="69">
        <f>CB23*0.9</f>
        <v>183.47814089842657</v>
      </c>
      <c r="CR23" s="68" t="s">
        <v>49</v>
      </c>
      <c r="CS23" s="70">
        <v>26.98962805075108</v>
      </c>
      <c r="CT23" s="70">
        <v>3.2</v>
      </c>
      <c r="CU23" s="71">
        <v>82</v>
      </c>
      <c r="CW23" s="49">
        <f t="shared" si="3"/>
        <v>1</v>
      </c>
      <c r="CX23" s="49">
        <f t="shared" si="17"/>
        <v>127.58073482846659</v>
      </c>
      <c r="CY23" s="263">
        <f t="shared" si="18"/>
        <v>0</v>
      </c>
      <c r="CZ23" s="49">
        <f t="shared" si="19"/>
        <v>1</v>
      </c>
    </row>
    <row r="24" spans="2:104" ht="15" x14ac:dyDescent="0.25">
      <c r="B24" s="33">
        <v>0.4</v>
      </c>
      <c r="C24" s="3">
        <v>4</v>
      </c>
      <c r="D24" s="27">
        <f>(X24*($T$11^$Q24))*Watts*CF_Altit</f>
        <v>1311.2625113075501</v>
      </c>
      <c r="E24" s="3">
        <f>ROUND(((D24/Watts)/(($S$9-$S$10)*1.163))*$E$14,IF($X$4=1,0,IF($X$4=2,2)))</f>
        <v>113</v>
      </c>
      <c r="F24" s="30">
        <f>($Y$24*(E24/$E$14)^$Y$26)*$F$14</f>
        <v>0.22382347012575171</v>
      </c>
      <c r="G24" s="4">
        <f>(Z24*($W$11^R24))*Watts*CF_Altit</f>
        <v>231.65460637567074</v>
      </c>
      <c r="H24" s="4">
        <f>((G24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24+0.001448)*(Tl_cool-Tavg_cold)+(0.016908*$C24-0.033574))*1.039&gt;1,1,1/(1+((2258*((0.622/(($Z$11/(1*611*EXP(17.27*(Tavg_cold/(Tavg_cold+237.3))))))-1)*1000-(0.622/(($Z$11/(RH*611*EXP(17.27*(Tl_cool/(Tl_cool+237.3))))))-1)*1000))/(1005*(Tavg_cold-Tl_cool))))*1.039+((-0.000729*$C24+0.001448)*(Tl_cool-Tavg_cold)+(0.016908*$C24-0.033574))*1.039))))*Watts</f>
        <v>231.65460637567074</v>
      </c>
      <c r="I24" s="3">
        <f>ROUND(((H24/Watts)/((Tr_cool-Tv_cool)*1.163))*$I$14,IF($X$4=1,0,IF($X$4=2,2)))</f>
        <v>100</v>
      </c>
      <c r="J24" s="5">
        <f>($AA$24*(I24/$I$14)^$AA$26)*$J$14</f>
        <v>0.17765213665738669</v>
      </c>
      <c r="K24" s="59">
        <f>L24-8</f>
        <v>25</v>
      </c>
      <c r="L24" s="53">
        <f t="shared" si="20"/>
        <v>33</v>
      </c>
      <c r="M24" s="46">
        <f t="shared" si="20"/>
        <v>1.8</v>
      </c>
      <c r="N24" s="64">
        <f>AD24*Cubics</f>
        <v>85</v>
      </c>
      <c r="O24" s="253">
        <f>((($D24/Watts)/(((p_atm*0.028964)/(8.31447*(20+273.15)))*(($N24/3600)/Cubics)*(1005+1870*((0.622)/(((p_atm)/($E$12*Pvs_Heat_in))-1)))))+Tl_heat)*Celc1+Celc2</f>
        <v>65.282094575809083</v>
      </c>
      <c r="P24" s="254">
        <f>(Tl_cool-(($G24/Watts)/(1006*$N24*kgss)))*Celc1+Celc2</f>
        <v>18.899719690918239</v>
      </c>
      <c r="Q24" s="220">
        <v>1</v>
      </c>
      <c r="R24" s="113">
        <f t="shared" si="4"/>
        <v>0.85870000000000002</v>
      </c>
      <c r="S24" s="113">
        <v>0.68</v>
      </c>
      <c r="T24" s="113">
        <v>1.04</v>
      </c>
      <c r="U24" s="113">
        <v>0.85870000000000002</v>
      </c>
      <c r="V24" s="144">
        <v>0.87749999999999995</v>
      </c>
      <c r="W24" s="171">
        <f>(H24-G24)/H24</f>
        <v>0</v>
      </c>
      <c r="X24" s="123">
        <f t="shared" si="5"/>
        <v>1311.2625113075501</v>
      </c>
      <c r="Y24" s="124">
        <f t="shared" si="6"/>
        <v>2.9439637778696419E-5</v>
      </c>
      <c r="Z24" s="124">
        <f t="shared" si="7"/>
        <v>231.65460637567074</v>
      </c>
      <c r="AA24" s="124">
        <f t="shared" si="8"/>
        <v>2.9439637778696419E-5</v>
      </c>
      <c r="AB24" s="125">
        <f t="shared" si="9"/>
        <v>33</v>
      </c>
      <c r="AC24" s="125">
        <f t="shared" si="10"/>
        <v>1.8</v>
      </c>
      <c r="AD24" s="126">
        <f t="shared" si="11"/>
        <v>85</v>
      </c>
      <c r="AE24" s="123">
        <v>1021</v>
      </c>
      <c r="AF24" s="124">
        <v>4.0202009009986008E-4</v>
      </c>
      <c r="AG24" s="124">
        <v>135</v>
      </c>
      <c r="AH24" s="124">
        <f>AF24</f>
        <v>4.0202009009986008E-4</v>
      </c>
      <c r="AI24" s="125">
        <v>27</v>
      </c>
      <c r="AJ24" s="125">
        <v>1.3</v>
      </c>
      <c r="AK24" s="126">
        <v>75</v>
      </c>
      <c r="AL24" s="123">
        <f>AE24</f>
        <v>1021</v>
      </c>
      <c r="AM24" s="124">
        <f>AH24</f>
        <v>4.0202009009986008E-4</v>
      </c>
      <c r="AN24" s="124">
        <v>135</v>
      </c>
      <c r="AO24" s="124">
        <f>AM24</f>
        <v>4.0202009009986008E-4</v>
      </c>
      <c r="AP24" s="125">
        <f t="shared" si="21"/>
        <v>27</v>
      </c>
      <c r="AQ24" s="125">
        <f t="shared" si="21"/>
        <v>1.3</v>
      </c>
      <c r="AR24" s="126">
        <f t="shared" si="21"/>
        <v>75</v>
      </c>
      <c r="AS24" s="124"/>
      <c r="AT24" s="1">
        <f>(AG24*((((Tv_cool-Tr_cool)/LN((Tv_cool-Tl_cool)/(Tr_cool-Tl_cool)))/((16-18)/LN((16-27)/(18-27))))^S24))*$G$14</f>
        <v>4.514999999999994E-2</v>
      </c>
      <c r="AU24" s="1">
        <f>((AT24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24+0.00625)*(Tl_cool-(Tv_cool+Tr_cool)/2)-(-0.000625*$C24+0.00625)*10))))*$H$14</f>
        <v>135</v>
      </c>
      <c r="AV24" s="73"/>
      <c r="AW24" s="182">
        <v>1015</v>
      </c>
      <c r="AX24" s="183">
        <v>4.5000000000000003E-5</v>
      </c>
      <c r="AY24" s="183">
        <v>144</v>
      </c>
      <c r="AZ24" s="261">
        <v>6.0841300000000003E-6</v>
      </c>
      <c r="BA24" s="184">
        <v>31.9</v>
      </c>
      <c r="BB24" s="184">
        <v>1.8</v>
      </c>
      <c r="BC24" s="185">
        <v>78</v>
      </c>
      <c r="BD24" s="72">
        <v>1014.3629699999999</v>
      </c>
      <c r="BE24" s="73">
        <v>4.0195199999999998E-5</v>
      </c>
      <c r="BF24" s="73">
        <v>222.45572868953656</v>
      </c>
      <c r="BG24" s="73">
        <v>1.3302510869177982E-5</v>
      </c>
      <c r="BH24" s="74">
        <v>33</v>
      </c>
      <c r="BI24" s="74">
        <v>1.8</v>
      </c>
      <c r="BJ24" s="75">
        <v>85</v>
      </c>
      <c r="BK24" s="72">
        <v>1311.2625113075501</v>
      </c>
      <c r="BL24" s="73">
        <v>2.9439637778696419E-5</v>
      </c>
      <c r="BM24" s="73">
        <v>231.65460637567074</v>
      </c>
      <c r="BN24" s="73">
        <f>BL24</f>
        <v>2.9439637778696419E-5</v>
      </c>
      <c r="BO24" s="74">
        <f t="shared" si="22"/>
        <v>33</v>
      </c>
      <c r="BP24" s="74">
        <f t="shared" si="22"/>
        <v>1.8</v>
      </c>
      <c r="BQ24" s="75">
        <f t="shared" si="22"/>
        <v>85</v>
      </c>
      <c r="BR24" s="73"/>
      <c r="BS24" s="72">
        <v>1628.1834934438923</v>
      </c>
      <c r="BT24" s="73">
        <v>2.3978861066814286E-5</v>
      </c>
      <c r="BU24" s="73">
        <v>362.09527218224656</v>
      </c>
      <c r="BV24" s="73">
        <v>7.1743257974481045E-5</v>
      </c>
      <c r="BW24" s="74">
        <v>30.019276797677907</v>
      </c>
      <c r="BX24" s="74">
        <v>6.7</v>
      </c>
      <c r="BY24" s="75">
        <v>179</v>
      </c>
      <c r="BZ24" s="72">
        <v>2442.275240165839</v>
      </c>
      <c r="CA24" s="73">
        <v>2.8777145031522588E-5</v>
      </c>
      <c r="CB24" s="73">
        <v>398.30479940047127</v>
      </c>
      <c r="CC24" s="73">
        <v>2.8777145031522588E-5</v>
      </c>
      <c r="CD24" s="74">
        <v>30.019276797677907</v>
      </c>
      <c r="CE24" s="74">
        <v>6.7</v>
      </c>
      <c r="CF24" s="75">
        <v>179</v>
      </c>
      <c r="CH24" s="72">
        <f t="shared" ref="CH24:CH27" si="23">BS24*0.9</f>
        <v>1465.3651440995031</v>
      </c>
      <c r="CI24" s="73">
        <v>2.3978861066814286E-5</v>
      </c>
      <c r="CJ24" s="73">
        <f t="shared" ref="CJ24:CJ27" si="24">BU24*0.9</f>
        <v>325.88574496402191</v>
      </c>
      <c r="CK24" s="73">
        <v>7.1743257974481045E-5</v>
      </c>
      <c r="CL24" s="74">
        <v>30.019276797677907</v>
      </c>
      <c r="CM24" s="74">
        <v>6.7</v>
      </c>
      <c r="CN24" s="75">
        <v>179</v>
      </c>
      <c r="CO24" s="72">
        <f t="shared" ref="CO24:CO27" si="25">BZ24*0.9</f>
        <v>2198.0477161492554</v>
      </c>
      <c r="CP24" s="73">
        <v>2.8777145031522588E-5</v>
      </c>
      <c r="CQ24" s="73">
        <f t="shared" ref="CQ24:CQ27" si="26">CB24*0.9</f>
        <v>358.47431946042417</v>
      </c>
      <c r="CR24" s="73">
        <v>2.8777145031522588E-5</v>
      </c>
      <c r="CS24" s="74">
        <v>30.019276797677907</v>
      </c>
      <c r="CT24" s="74">
        <v>6.7</v>
      </c>
      <c r="CU24" s="75">
        <v>179</v>
      </c>
      <c r="CW24" s="49">
        <f t="shared" si="3"/>
        <v>1</v>
      </c>
      <c r="CX24" s="49">
        <f t="shared" si="17"/>
        <v>231.65460637567074</v>
      </c>
      <c r="CY24" s="263">
        <f t="shared" si="18"/>
        <v>0</v>
      </c>
      <c r="CZ24" s="49">
        <f t="shared" si="19"/>
        <v>1</v>
      </c>
    </row>
    <row r="25" spans="2:104" ht="15" x14ac:dyDescent="0.25">
      <c r="B25" s="33">
        <v>0.6</v>
      </c>
      <c r="C25" s="3">
        <v>6</v>
      </c>
      <c r="D25" s="27">
        <f>(X25*($T$11^$Q25))*Watts*CF_Altit</f>
        <v>1954.7307439707715</v>
      </c>
      <c r="E25" s="3">
        <f>ROUND(((D25/Watts)/(($S$9-$S$10)*1.163))*$E$14,IF($X$4=1,0,IF($X$4=2,2)))</f>
        <v>168</v>
      </c>
      <c r="F25" s="30">
        <f>($Y$24*(E25/$E$14)^$Y$26)*$F$14</f>
        <v>0.47367105666773596</v>
      </c>
      <c r="G25" s="4">
        <f>(Z25*($W$11^R25))*Watts*CF_Altit</f>
        <v>330.83703764540519</v>
      </c>
      <c r="H25" s="4">
        <f>((G25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25+0.001448)*(Tl_cool-Tavg_cold)+(0.016908*$C25-0.033574))*1.039&gt;1,1,1/(1+((2258*((0.622/(($Z$11/(1*611*EXP(17.27*(Tavg_cold/(Tavg_cold+237.3))))))-1)*1000-(0.622/(($Z$11/(RH*611*EXP(17.27*(Tl_cool/(Tl_cool+237.3))))))-1)*1000))/(1005*(Tavg_cold-Tl_cool))))*1.039+((-0.000729*$C25+0.001448)*(Tl_cool-Tavg_cold)+(0.016908*$C25-0.033574))*1.039))))*Watts</f>
        <v>330.83703764540519</v>
      </c>
      <c r="I25" s="3">
        <f>ROUND(((H25/Watts)/((Tr_cool-Tv_cool)*1.163))*$I$14,IF($X$4=1,0,IF($X$4=2,2)))</f>
        <v>142</v>
      </c>
      <c r="J25" s="5">
        <f>($AA$24*(I25/$I$14)^$AA$26)*$J$14</f>
        <v>0.34470214347955219</v>
      </c>
      <c r="K25" s="59">
        <f>L25-8</f>
        <v>29</v>
      </c>
      <c r="L25" s="53">
        <f t="shared" si="20"/>
        <v>37</v>
      </c>
      <c r="M25" s="46">
        <f t="shared" si="20"/>
        <v>3.4</v>
      </c>
      <c r="N25" s="64">
        <f>AD25*Cubics</f>
        <v>133</v>
      </c>
      <c r="O25" s="253">
        <f>((($D25/Watts)/(((p_atm*0.028964)/(8.31447*(20+273.15)))*(($N25/3600)/Cubics)*(1005+1870*((0.622)/(((p_atm)/($E$12*Pvs_Heat_in))-1)))))+Tl_heat)*Celc1+Celc2</f>
        <v>63.141087716354733</v>
      </c>
      <c r="P25" s="254">
        <f>(Tl_cool-(($G25/Watts)/(1006*$N25*kgss)))*Celc1+Celc2</f>
        <v>19.606662776547687</v>
      </c>
      <c r="Q25" s="220">
        <v>1</v>
      </c>
      <c r="R25" s="113">
        <f t="shared" si="4"/>
        <v>0.8831</v>
      </c>
      <c r="S25" s="113">
        <v>0.79</v>
      </c>
      <c r="T25" s="113">
        <v>0.95</v>
      </c>
      <c r="U25" s="113">
        <v>0.8831</v>
      </c>
      <c r="V25" s="144">
        <v>0.88200000000000001</v>
      </c>
      <c r="W25" s="171">
        <f>(H25-G25)/H25</f>
        <v>0</v>
      </c>
      <c r="X25" s="123">
        <f t="shared" si="5"/>
        <v>1954.7307439707715</v>
      </c>
      <c r="Y25" s="119" t="str">
        <f t="shared" si="6"/>
        <v>b</v>
      </c>
      <c r="Z25" s="124">
        <f t="shared" si="7"/>
        <v>330.83703764540519</v>
      </c>
      <c r="AA25" s="119" t="str">
        <f t="shared" si="8"/>
        <v>b</v>
      </c>
      <c r="AB25" s="125">
        <f t="shared" si="9"/>
        <v>37</v>
      </c>
      <c r="AC25" s="125">
        <f t="shared" si="10"/>
        <v>3.4</v>
      </c>
      <c r="AD25" s="126">
        <f t="shared" si="11"/>
        <v>133</v>
      </c>
      <c r="AE25" s="123">
        <v>1438</v>
      </c>
      <c r="AF25" s="119" t="s">
        <v>50</v>
      </c>
      <c r="AG25" s="124">
        <v>214</v>
      </c>
      <c r="AH25" s="119" t="s">
        <v>50</v>
      </c>
      <c r="AI25" s="125">
        <v>37</v>
      </c>
      <c r="AJ25" s="125">
        <v>2.7</v>
      </c>
      <c r="AK25" s="126">
        <v>98</v>
      </c>
      <c r="AL25" s="123">
        <f>AE25</f>
        <v>1438</v>
      </c>
      <c r="AM25" s="119" t="s">
        <v>50</v>
      </c>
      <c r="AN25" s="124">
        <v>214</v>
      </c>
      <c r="AO25" s="119" t="s">
        <v>50</v>
      </c>
      <c r="AP25" s="125">
        <f t="shared" si="21"/>
        <v>37</v>
      </c>
      <c r="AQ25" s="125">
        <f t="shared" si="21"/>
        <v>2.7</v>
      </c>
      <c r="AR25" s="126">
        <f t="shared" si="21"/>
        <v>98</v>
      </c>
      <c r="AS25" s="124"/>
      <c r="AT25" s="1">
        <f>(AG25*((((Tv_cool-Tr_cool)/LN((Tv_cool-Tl_cool)/(Tr_cool-Tl_cool)))/((16-18)/LN((16-27)/(18-27))))^S25))*$G$14</f>
        <v>7.1571111111111016E-2</v>
      </c>
      <c r="AU25" s="1">
        <f>((AT25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25+0.00625)*(Tl_cool-(Tv_cool+Tr_cool)/2)-(-0.000625*$C25+0.00625)*10))))*$H$14</f>
        <v>214</v>
      </c>
      <c r="AV25" s="73"/>
      <c r="AW25" s="182">
        <v>1351</v>
      </c>
      <c r="AX25" s="178" t="s">
        <v>50</v>
      </c>
      <c r="AY25" s="183">
        <v>218</v>
      </c>
      <c r="AZ25" s="178" t="s">
        <v>50</v>
      </c>
      <c r="BA25" s="184">
        <v>37</v>
      </c>
      <c r="BB25" s="184">
        <v>3.6</v>
      </c>
      <c r="BC25" s="185">
        <v>123</v>
      </c>
      <c r="BD25" s="72">
        <v>1430.7324699999999</v>
      </c>
      <c r="BE25" s="68" t="s">
        <v>50</v>
      </c>
      <c r="BF25" s="73">
        <v>319.80448376845339</v>
      </c>
      <c r="BG25" s="68" t="s">
        <v>50</v>
      </c>
      <c r="BH25" s="74">
        <v>37</v>
      </c>
      <c r="BI25" s="74">
        <v>3.4</v>
      </c>
      <c r="BJ25" s="75">
        <v>133</v>
      </c>
      <c r="BK25" s="72">
        <v>1954.7307439707715</v>
      </c>
      <c r="BL25" s="68" t="s">
        <v>50</v>
      </c>
      <c r="BM25" s="73">
        <v>330.83703764540519</v>
      </c>
      <c r="BN25" s="68" t="s">
        <v>50</v>
      </c>
      <c r="BO25" s="74">
        <f t="shared" si="22"/>
        <v>37</v>
      </c>
      <c r="BP25" s="74">
        <f t="shared" si="22"/>
        <v>3.4</v>
      </c>
      <c r="BQ25" s="75">
        <f t="shared" si="22"/>
        <v>133</v>
      </c>
      <c r="BR25" s="73"/>
      <c r="BS25" s="72">
        <v>2126.2510366498072</v>
      </c>
      <c r="BT25" s="68" t="s">
        <v>50</v>
      </c>
      <c r="BU25" s="73">
        <v>535.76343675526061</v>
      </c>
      <c r="BV25" s="68" t="s">
        <v>50</v>
      </c>
      <c r="BW25" s="74">
        <v>35.99082010896673</v>
      </c>
      <c r="BX25" s="74">
        <v>12.1</v>
      </c>
      <c r="BY25" s="75">
        <v>260</v>
      </c>
      <c r="BZ25" s="72">
        <v>3189.3765549747113</v>
      </c>
      <c r="CA25" s="68" t="s">
        <v>50</v>
      </c>
      <c r="CB25" s="73">
        <v>589.33978043078685</v>
      </c>
      <c r="CC25" s="68" t="s">
        <v>50</v>
      </c>
      <c r="CD25" s="74">
        <v>35.99082010896673</v>
      </c>
      <c r="CE25" s="74">
        <v>12.1</v>
      </c>
      <c r="CF25" s="75">
        <v>260</v>
      </c>
      <c r="CH25" s="72">
        <f t="shared" si="23"/>
        <v>1913.6259329848265</v>
      </c>
      <c r="CI25" s="68" t="s">
        <v>50</v>
      </c>
      <c r="CJ25" s="73">
        <f t="shared" si="24"/>
        <v>482.18709307973455</v>
      </c>
      <c r="CK25" s="68" t="s">
        <v>50</v>
      </c>
      <c r="CL25" s="74">
        <v>35.99082010896673</v>
      </c>
      <c r="CM25" s="74">
        <v>12.1</v>
      </c>
      <c r="CN25" s="75">
        <v>260</v>
      </c>
      <c r="CO25" s="72">
        <f t="shared" si="25"/>
        <v>2870.4388994772403</v>
      </c>
      <c r="CP25" s="68" t="s">
        <v>50</v>
      </c>
      <c r="CQ25" s="73">
        <f t="shared" si="26"/>
        <v>530.40580238770815</v>
      </c>
      <c r="CR25" s="68" t="s">
        <v>50</v>
      </c>
      <c r="CS25" s="74">
        <v>35.99082010896673</v>
      </c>
      <c r="CT25" s="74">
        <v>12.1</v>
      </c>
      <c r="CU25" s="75">
        <v>260</v>
      </c>
      <c r="CW25" s="49">
        <f t="shared" si="3"/>
        <v>1</v>
      </c>
      <c r="CX25" s="49">
        <f t="shared" si="17"/>
        <v>330.83703764540519</v>
      </c>
      <c r="CY25" s="263">
        <f t="shared" si="18"/>
        <v>0</v>
      </c>
      <c r="CZ25" s="49">
        <f t="shared" si="19"/>
        <v>1</v>
      </c>
    </row>
    <row r="26" spans="2:104" ht="15" x14ac:dyDescent="0.25">
      <c r="B26" s="33">
        <v>0.8</v>
      </c>
      <c r="C26" s="3">
        <v>8</v>
      </c>
      <c r="D26" s="27">
        <f>(X26*($T$11^$Q26))*Watts*CF_Altit</f>
        <v>2523.2878282336105</v>
      </c>
      <c r="E26" s="3">
        <f>ROUND(((D26/Watts)/(($S$9-$S$10)*1.163))*$E$14,IF($X$4=1,0,IF($X$4=2,2)))</f>
        <v>217</v>
      </c>
      <c r="F26" s="30">
        <f>($Y$24*(E26/$E$14)^$Y$26)*$F$14</f>
        <v>0.76839876520221462</v>
      </c>
      <c r="G26" s="4">
        <f>(Z26*($W$11^R26))*Watts*CF_Altit</f>
        <v>425.1280286376699</v>
      </c>
      <c r="H26" s="4">
        <f>((G26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26+0.001448)*(Tl_cool-Tavg_cold)+(0.016908*$C26-0.033574))*1.039&gt;1,1,1/(1+((2258*((0.622/(($Z$11/(1*611*EXP(17.27*(Tavg_cold/(Tavg_cold+237.3))))))-1)*1000-(0.622/(($Z$11/(RH*611*EXP(17.27*(Tl_cool/(Tl_cool+237.3))))))-1)*1000))/(1005*(Tavg_cold-Tl_cool))))*1.039+((-0.000729*$C26+0.001448)*(Tl_cool-Tavg_cold)+(0.016908*$C26-0.033574))*1.039))))*Watts</f>
        <v>425.1280286376699</v>
      </c>
      <c r="I26" s="3">
        <f>ROUND(((H26/Watts)/((Tr_cool-Tv_cool)*1.163))*$I$14,IF($X$4=1,0,IF($X$4=2,2)))</f>
        <v>183</v>
      </c>
      <c r="J26" s="5">
        <f>($AA$24*(I26/$I$14)^$AA$26)*$J$14</f>
        <v>0.55678395698915206</v>
      </c>
      <c r="K26" s="59">
        <f>L26-8</f>
        <v>36</v>
      </c>
      <c r="L26" s="53">
        <f t="shared" si="20"/>
        <v>44</v>
      </c>
      <c r="M26" s="46">
        <f t="shared" si="20"/>
        <v>6.3</v>
      </c>
      <c r="N26" s="64">
        <f>AD26*Cubics</f>
        <v>168</v>
      </c>
      <c r="O26" s="253">
        <f>((($D26/Watts)/(((p_atm*0.028964)/(8.31447*(20+273.15)))*(($N26/3600)/Cubics)*(1005+1870*((0.622)/(((p_atm)/($E$12*Pvs_Heat_in))-1)))))+Tl_heat)*Celc1+Celc2</f>
        <v>64.087279357970971</v>
      </c>
      <c r="P26" s="254">
        <f>(Tl_cool-(($G26/Watts)/(1006*$N26*kgss)))*Celc1+Celc2</f>
        <v>19.478776569858191</v>
      </c>
      <c r="Q26" s="220">
        <v>1</v>
      </c>
      <c r="R26" s="113">
        <f t="shared" si="4"/>
        <v>0.85389999999999999</v>
      </c>
      <c r="S26" s="113">
        <v>0.87</v>
      </c>
      <c r="T26" s="113">
        <v>0.95</v>
      </c>
      <c r="U26" s="113">
        <v>0.85389999999999999</v>
      </c>
      <c r="V26" s="144">
        <v>0.89500000000000002</v>
      </c>
      <c r="W26" s="171">
        <f>(H26-G26)/H26</f>
        <v>0</v>
      </c>
      <c r="X26" s="123">
        <f t="shared" si="5"/>
        <v>2523.2878282336105</v>
      </c>
      <c r="Y26" s="124">
        <f t="shared" si="6"/>
        <v>1.8903189865021812</v>
      </c>
      <c r="Z26" s="124">
        <f t="shared" si="7"/>
        <v>425.1280286376699</v>
      </c>
      <c r="AA26" s="124">
        <f t="shared" si="8"/>
        <v>1.8903189865021812</v>
      </c>
      <c r="AB26" s="125">
        <f t="shared" si="9"/>
        <v>44</v>
      </c>
      <c r="AC26" s="125">
        <f t="shared" si="10"/>
        <v>6.3</v>
      </c>
      <c r="AD26" s="126">
        <f t="shared" si="11"/>
        <v>168</v>
      </c>
      <c r="AE26" s="123">
        <v>1834</v>
      </c>
      <c r="AF26" s="124">
        <v>1.8235155847906248</v>
      </c>
      <c r="AG26" s="124">
        <v>296</v>
      </c>
      <c r="AH26" s="124">
        <f>AF26</f>
        <v>1.8235155847906248</v>
      </c>
      <c r="AI26" s="125">
        <v>40</v>
      </c>
      <c r="AJ26" s="125">
        <v>4.5999999999999996</v>
      </c>
      <c r="AK26" s="126">
        <v>125</v>
      </c>
      <c r="AL26" s="123">
        <f>AE26</f>
        <v>1834</v>
      </c>
      <c r="AM26" s="124">
        <f>AH26</f>
        <v>1.8235155847906248</v>
      </c>
      <c r="AN26" s="124">
        <v>296</v>
      </c>
      <c r="AO26" s="124">
        <f>AM26</f>
        <v>1.8235155847906248</v>
      </c>
      <c r="AP26" s="125">
        <f t="shared" si="21"/>
        <v>40</v>
      </c>
      <c r="AQ26" s="125">
        <f t="shared" si="21"/>
        <v>4.5999999999999996</v>
      </c>
      <c r="AR26" s="126">
        <f t="shared" si="21"/>
        <v>125</v>
      </c>
      <c r="AS26" s="124"/>
      <c r="AT26" s="1">
        <f>(AG26*((((Tv_cool-Tr_cool)/LN((Tv_cool-Tl_cool)/(Tr_cool-Tl_cool)))/((16-18)/LN((16-27)/(18-27))))^S26))*$G$14</f>
        <v>9.8995555555555434E-2</v>
      </c>
      <c r="AU26" s="1">
        <f>((AT26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26+0.00625)*(Tl_cool-(Tv_cool+Tr_cool)/2)-(-0.000625*$C26+0.00625)*10))))*$H$14</f>
        <v>296</v>
      </c>
      <c r="AV26" s="73"/>
      <c r="AW26" s="182">
        <v>1654</v>
      </c>
      <c r="AX26" s="183">
        <v>1.8</v>
      </c>
      <c r="AY26" s="183">
        <v>293</v>
      </c>
      <c r="AZ26" s="183">
        <v>2</v>
      </c>
      <c r="BA26" s="184">
        <v>44</v>
      </c>
      <c r="BB26" s="184">
        <v>6.5</v>
      </c>
      <c r="BC26" s="185">
        <v>168</v>
      </c>
      <c r="BD26" s="72">
        <v>1757.7295299999996</v>
      </c>
      <c r="BE26" s="73">
        <v>1.8944300000000001</v>
      </c>
      <c r="BF26" s="73">
        <v>414.54157104296314</v>
      </c>
      <c r="BG26" s="73">
        <v>1.9435633812010937</v>
      </c>
      <c r="BH26" s="74">
        <v>44</v>
      </c>
      <c r="BI26" s="74">
        <v>6.3</v>
      </c>
      <c r="BJ26" s="75">
        <v>168</v>
      </c>
      <c r="BK26" s="72">
        <v>2523.2878282336105</v>
      </c>
      <c r="BL26" s="73">
        <v>1.8903189865021812</v>
      </c>
      <c r="BM26" s="73">
        <v>425.1280286376699</v>
      </c>
      <c r="BN26" s="73">
        <f>BL26</f>
        <v>1.8903189865021812</v>
      </c>
      <c r="BO26" s="74">
        <f t="shared" si="22"/>
        <v>44</v>
      </c>
      <c r="BP26" s="74">
        <f t="shared" si="22"/>
        <v>6.3</v>
      </c>
      <c r="BQ26" s="75">
        <f t="shared" si="22"/>
        <v>168</v>
      </c>
      <c r="BR26" s="73"/>
      <c r="BS26" s="72">
        <v>2569.5367713680557</v>
      </c>
      <c r="BT26" s="73">
        <v>2</v>
      </c>
      <c r="BU26" s="73">
        <v>707.45133801647853</v>
      </c>
      <c r="BV26" s="73">
        <v>2</v>
      </c>
      <c r="BW26" s="74">
        <v>44.01549794824809</v>
      </c>
      <c r="BX26" s="74">
        <v>18.399999999999999</v>
      </c>
      <c r="BY26" s="75">
        <v>351</v>
      </c>
      <c r="BZ26" s="72">
        <v>3854.3051570520838</v>
      </c>
      <c r="CA26" s="73">
        <v>2</v>
      </c>
      <c r="CB26" s="73">
        <v>778.1964718181265</v>
      </c>
      <c r="CC26" s="73">
        <v>2</v>
      </c>
      <c r="CD26" s="74">
        <v>44.01549794824809</v>
      </c>
      <c r="CE26" s="74">
        <v>18.399999999999999</v>
      </c>
      <c r="CF26" s="75">
        <v>351</v>
      </c>
      <c r="CH26" s="72">
        <f t="shared" si="23"/>
        <v>2312.58309423125</v>
      </c>
      <c r="CI26" s="73">
        <v>2</v>
      </c>
      <c r="CJ26" s="73">
        <f t="shared" si="24"/>
        <v>636.70620421483068</v>
      </c>
      <c r="CK26" s="73">
        <v>2</v>
      </c>
      <c r="CL26" s="74">
        <v>44.01549794824809</v>
      </c>
      <c r="CM26" s="74">
        <v>18.399999999999999</v>
      </c>
      <c r="CN26" s="75">
        <v>351</v>
      </c>
      <c r="CO26" s="72">
        <f t="shared" si="25"/>
        <v>3468.8746413468757</v>
      </c>
      <c r="CP26" s="73">
        <v>2</v>
      </c>
      <c r="CQ26" s="73">
        <f t="shared" si="26"/>
        <v>700.37682463631381</v>
      </c>
      <c r="CR26" s="73">
        <v>2</v>
      </c>
      <c r="CS26" s="74">
        <v>44.01549794824809</v>
      </c>
      <c r="CT26" s="74">
        <v>18.399999999999999</v>
      </c>
      <c r="CU26" s="75">
        <v>351</v>
      </c>
      <c r="CW26" s="49">
        <f t="shared" si="3"/>
        <v>1</v>
      </c>
      <c r="CX26" s="49">
        <f t="shared" si="17"/>
        <v>425.1280286376699</v>
      </c>
      <c r="CY26" s="263">
        <f t="shared" si="18"/>
        <v>0</v>
      </c>
      <c r="CZ26" s="49">
        <f t="shared" si="19"/>
        <v>1</v>
      </c>
    </row>
    <row r="27" spans="2:104" ht="15" x14ac:dyDescent="0.25">
      <c r="B27" s="33">
        <v>1</v>
      </c>
      <c r="C27" s="3">
        <v>10</v>
      </c>
      <c r="D27" s="27">
        <f>(X27*($T$11^$Q27))*Watts*CF_Altit</f>
        <v>3016.9337640960675</v>
      </c>
      <c r="E27" s="3">
        <f>ROUND(((D27/Watts)/(($S$9-$S$10)*1.163))*$E$14,IF($X$4=1,0,IF($X$4=2,2)))</f>
        <v>259</v>
      </c>
      <c r="F27" s="30">
        <f>($Y$24*(E27/$E$14)^$Y$26)*$F$14</f>
        <v>1.0735909116187621</v>
      </c>
      <c r="G27" s="4">
        <f>(Z27*($W$11^R27))*Watts*CF_Altit</f>
        <v>514.52757935246484</v>
      </c>
      <c r="H27" s="4">
        <f>((G27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27+0.001448)*(Tl_cool-Tavg_cold)+(0.016908*$C27-0.033574))*1.039&gt;1,1,1/(1+((2258*((0.622/(($Z$11/(1*611*EXP(17.27*(Tavg_cold/(Tavg_cold+237.3))))))-1)*1000-(0.622/(($Z$11/(RH*611*EXP(17.27*(Tl_cool/(Tl_cool+237.3))))))-1)*1000))/(1005*(Tavg_cold-Tl_cool))))*1.039+((-0.000729*$C27+0.001448)*(Tl_cool-Tavg_cold)+(0.016908*$C27-0.033574))*1.039))))*Watts</f>
        <v>514.52757935246484</v>
      </c>
      <c r="I27" s="3">
        <f>ROUND(((H27/Watts)/((Tr_cool-Tv_cool)*1.163))*$I$14,IF($X$4=1,0,IF($X$4=2,2)))</f>
        <v>221</v>
      </c>
      <c r="J27" s="5">
        <f>($AA$24*(I27/$I$14)^$AA$26)*$J$14</f>
        <v>0.79539286149473631</v>
      </c>
      <c r="K27" s="59">
        <f>L27-8</f>
        <v>39</v>
      </c>
      <c r="L27" s="53">
        <f t="shared" si="20"/>
        <v>47</v>
      </c>
      <c r="M27" s="46">
        <f t="shared" si="20"/>
        <v>10.7</v>
      </c>
      <c r="N27" s="64">
        <f>AD27*Cubics</f>
        <v>202</v>
      </c>
      <c r="O27" s="253">
        <f>((($D27/Watts)/(((p_atm*0.028964)/(8.31447*(20+273.15)))*(($N27/3600)/Cubics)*(1005+1870*((0.622)/(((p_atm)/($E$12*Pvs_Heat_in))-1)))))+Tl_heat)*Celc1+Celc2</f>
        <v>63.839964537304979</v>
      </c>
      <c r="P27" s="254">
        <f>(Tl_cool-(($G27/Watts)/(1006*$N27*kgss)))*Celc1+Celc2</f>
        <v>19.429312460861631</v>
      </c>
      <c r="Q27" s="220">
        <v>1</v>
      </c>
      <c r="R27" s="113">
        <f t="shared" si="4"/>
        <v>0.77110000000000001</v>
      </c>
      <c r="S27" s="113">
        <v>0.91</v>
      </c>
      <c r="T27" s="52">
        <v>0.98</v>
      </c>
      <c r="U27" s="113">
        <v>0.77110000000000001</v>
      </c>
      <c r="V27" s="144">
        <v>0.91110000000000002</v>
      </c>
      <c r="W27" s="171">
        <f>(H27-G27)/H27</f>
        <v>0</v>
      </c>
      <c r="X27" s="127">
        <f t="shared" si="5"/>
        <v>3016.9337640960675</v>
      </c>
      <c r="Y27" s="128">
        <f t="shared" si="6"/>
        <v>0</v>
      </c>
      <c r="Z27" s="129">
        <f t="shared" si="7"/>
        <v>514.52757935246484</v>
      </c>
      <c r="AA27" s="128">
        <f t="shared" si="8"/>
        <v>0</v>
      </c>
      <c r="AB27" s="130">
        <f t="shared" si="9"/>
        <v>47</v>
      </c>
      <c r="AC27" s="130">
        <f t="shared" si="10"/>
        <v>10.7</v>
      </c>
      <c r="AD27" s="131">
        <f t="shared" si="11"/>
        <v>202</v>
      </c>
      <c r="AE27" s="127">
        <v>2214</v>
      </c>
      <c r="AF27" s="128"/>
      <c r="AG27" s="129">
        <v>381</v>
      </c>
      <c r="AH27" s="128"/>
      <c r="AI27" s="130">
        <v>45</v>
      </c>
      <c r="AJ27" s="130">
        <v>7.1</v>
      </c>
      <c r="AK27" s="131">
        <v>160</v>
      </c>
      <c r="AL27" s="127">
        <f>AE27</f>
        <v>2214</v>
      </c>
      <c r="AM27" s="128"/>
      <c r="AN27" s="129">
        <v>381</v>
      </c>
      <c r="AO27" s="128"/>
      <c r="AP27" s="130">
        <f t="shared" si="21"/>
        <v>45</v>
      </c>
      <c r="AQ27" s="130">
        <f t="shared" si="21"/>
        <v>7.1</v>
      </c>
      <c r="AR27" s="131">
        <f t="shared" si="21"/>
        <v>160</v>
      </c>
      <c r="AS27" s="124"/>
      <c r="AT27" s="1">
        <f>(AG27*((((Tv_cool-Tr_cool)/LN((Tv_cool-Tl_cool)/(Tr_cool-Tl_cool)))/((16-18)/LN((16-27)/(18-27))))^S27))*$G$14</f>
        <v>0.12742333333333317</v>
      </c>
      <c r="AU27" s="1">
        <f>((AT27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27+0.00625)*(Tl_cool-(Tv_cool+Tr_cool)/2)-(-0.000625*$C27+0.00625)*10))))*$H$14</f>
        <v>381</v>
      </c>
      <c r="AV27" s="73"/>
      <c r="AW27" s="186">
        <v>1936</v>
      </c>
      <c r="AX27" s="187"/>
      <c r="AY27" s="188">
        <v>368</v>
      </c>
      <c r="AZ27" s="187"/>
      <c r="BA27" s="189">
        <v>47.1</v>
      </c>
      <c r="BB27" s="189">
        <v>9.8000000000000007</v>
      </c>
      <c r="BC27" s="190">
        <v>202</v>
      </c>
      <c r="BD27" s="76">
        <v>1995.3541499999994</v>
      </c>
      <c r="BE27" s="77"/>
      <c r="BF27" s="78">
        <v>506.6669905130658</v>
      </c>
      <c r="BG27" s="77"/>
      <c r="BH27" s="79">
        <v>47</v>
      </c>
      <c r="BI27" s="79">
        <v>10.7</v>
      </c>
      <c r="BJ27" s="80">
        <v>202</v>
      </c>
      <c r="BK27" s="76">
        <v>3016.9337640960675</v>
      </c>
      <c r="BL27" s="77"/>
      <c r="BM27" s="78">
        <v>514.52757935246484</v>
      </c>
      <c r="BN27" s="77"/>
      <c r="BO27" s="79">
        <f t="shared" si="22"/>
        <v>47</v>
      </c>
      <c r="BP27" s="79">
        <f t="shared" si="22"/>
        <v>10.7</v>
      </c>
      <c r="BQ27" s="80">
        <f t="shared" si="22"/>
        <v>202</v>
      </c>
      <c r="BR27" s="73"/>
      <c r="BS27" s="76">
        <v>2976.0852577323931</v>
      </c>
      <c r="BT27" s="77"/>
      <c r="BU27" s="78">
        <v>877.68160086653302</v>
      </c>
      <c r="BV27" s="77"/>
      <c r="BW27" s="79">
        <v>49.003336021104822</v>
      </c>
      <c r="BX27" s="79">
        <v>24</v>
      </c>
      <c r="BY27" s="80">
        <v>401</v>
      </c>
      <c r="BZ27" s="76">
        <v>4464.1278865985905</v>
      </c>
      <c r="CA27" s="77"/>
      <c r="CB27" s="78">
        <v>965.44976095318657</v>
      </c>
      <c r="CC27" s="77"/>
      <c r="CD27" s="79">
        <v>49.003336021104822</v>
      </c>
      <c r="CE27" s="79">
        <v>24</v>
      </c>
      <c r="CF27" s="80">
        <v>401</v>
      </c>
      <c r="CH27" s="76">
        <f t="shared" si="23"/>
        <v>2678.4767319591538</v>
      </c>
      <c r="CI27" s="77"/>
      <c r="CJ27" s="78">
        <f t="shared" si="24"/>
        <v>789.91344077987969</v>
      </c>
      <c r="CK27" s="77"/>
      <c r="CL27" s="79">
        <v>49.003336021104822</v>
      </c>
      <c r="CM27" s="79">
        <v>24</v>
      </c>
      <c r="CN27" s="80">
        <v>401</v>
      </c>
      <c r="CO27" s="76">
        <f t="shared" si="25"/>
        <v>4017.7150979387316</v>
      </c>
      <c r="CP27" s="77"/>
      <c r="CQ27" s="78">
        <f t="shared" si="26"/>
        <v>868.90478485786798</v>
      </c>
      <c r="CR27" s="77"/>
      <c r="CS27" s="79">
        <v>49.003336021104822</v>
      </c>
      <c r="CT27" s="79">
        <v>24</v>
      </c>
      <c r="CU27" s="80">
        <v>401</v>
      </c>
      <c r="CW27" s="49">
        <f t="shared" si="3"/>
        <v>1</v>
      </c>
      <c r="CX27" s="49">
        <f t="shared" si="17"/>
        <v>514.52757935246484</v>
      </c>
      <c r="CY27" s="263">
        <f t="shared" si="18"/>
        <v>0</v>
      </c>
      <c r="CZ27" s="49">
        <f t="shared" si="19"/>
        <v>1</v>
      </c>
    </row>
    <row r="28" spans="2:104" ht="18" customHeight="1" x14ac:dyDescent="0.25">
      <c r="B28" s="326" t="str">
        <f>IF($S$7=1,NL!A27,IF(cal!$S$7=2,EN!A27,IF(cal!$S$7=3,DE!A27,IF(cal!$S$7=4,FR!A27,IF(cal!$S$7=5,NR!A27,IF(cal!$S$7=6,SP!A27,IF(cal!$S$7=7,SW!A27,IF(cal!$S$7=8,TS!A27,IF(cal!$S$7=9,ExtraTaal1!A27,IF(cal!$S$7=10,ExtraTaal2!A27,IF(cal!$S$7=11,ExtraTaal3!A27,)))))))))))</f>
        <v>Clima Canal height 13 cm width 32 cm length 120 cm (Type 3)</v>
      </c>
      <c r="C28" s="327">
        <f>IF($S$7=1,NL!B27,IF(cal!$S$7=2,EN!B27,IF(cal!$S$7=3,DE!B27,IF(cal!$S$7=4,FR!B27,IF(cal!$S$7=5,NR!B27,IF(cal!$S$7=6,SP!B27,IF(cal!$S$7=7,SW!B27,IF(cal!$S$7=8,TS!B27,IF(cal!$S$7=9,ExtraTaal1!B27,IF(cal!$S$7=10,ExtraTaal2!B27,IF(cal!$S$7=11,ExtraTaal3!B27,)))))))))))</f>
        <v>0</v>
      </c>
      <c r="D28" s="327">
        <f>IF($S$7=1,NL!C27,IF(cal!$S$7=2,EN!C27,IF(cal!$S$7=3,DE!C27,IF(cal!$S$7=4,FR!C27,IF(cal!$S$7=5,NR!C27,IF(cal!$S$7=6,SP!C27,IF(cal!$S$7=7,SW!C27,IF(cal!$S$7=8,TS!C27,IF(cal!$S$7=9,ExtraTaal1!C27,IF(cal!$S$7=10,ExtraTaal2!C27,IF(cal!$S$7=11,ExtraTaal3!C27,)))))))))))</f>
        <v>0</v>
      </c>
      <c r="E28" s="327">
        <f>IF($S$7=1,NL!D27,IF(cal!$S$7=2,EN!D27,IF(cal!$S$7=3,DE!D27,IF(cal!$S$7=4,FR!D27,IF(cal!$S$7=5,NR!D27,IF(cal!$S$7=6,SP!D27,IF(cal!$S$7=7,SW!D27,IF(cal!$S$7=8,TS!D27,IF(cal!$S$7=9,ExtraTaal1!D27,IF(cal!$S$7=10,ExtraTaal2!D27,IF(cal!$S$7=11,ExtraTaal3!D27,)))))))))))</f>
        <v>0</v>
      </c>
      <c r="F28" s="327">
        <f>IF($S$7=1,NL!E27,IF(cal!$S$7=2,EN!E27,IF(cal!$S$7=3,DE!E27,IF(cal!$S$7=4,FR!E27,IF(cal!$S$7=5,NR!E27,IF(cal!$S$7=6,SP!E27,IF(cal!$S$7=7,SW!E27,IF(cal!$S$7=8,TS!E27,IF(cal!$S$7=9,ExtraTaal1!E27,IF(cal!$S$7=10,ExtraTaal2!E27,IF(cal!$S$7=11,ExtraTaal3!E27,)))))))))))</f>
        <v>0</v>
      </c>
      <c r="G28" s="327">
        <f>IF($S$7=1,NL!F27,IF(cal!$S$7=2,EN!F27,IF(cal!$S$7=3,DE!F27,IF(cal!$S$7=4,FR!F27,IF(cal!$S$7=5,NR!F27,IF(cal!$S$7=6,SP!F27,IF(cal!$S$7=7,SW!F27,IF(cal!$S$7=8,TS!F27,IF(cal!$S$7=9,ExtraTaal1!F27,IF(cal!$S$7=10,ExtraTaal2!F27,IF(cal!$S$7=11,ExtraTaal3!F27,)))))))))))</f>
        <v>0</v>
      </c>
      <c r="H28" s="327">
        <f>IF($S$7=1,NL!G27,IF(cal!$S$7=2,EN!G27,IF(cal!$S$7=3,DE!G27,IF(cal!$S$7=4,FR!G27,IF(cal!$S$7=5,NR!G27,IF(cal!$S$7=6,SP!G27,IF(cal!$S$7=7,SW!G27,IF(cal!$S$7=8,TS!G27,IF(cal!$S$7=9,ExtraTaal1!G27,IF(cal!$S$7=10,ExtraTaal2!G27,IF(cal!$S$7=11,ExtraTaal3!G27,)))))))))))</f>
        <v>0</v>
      </c>
      <c r="I28" s="327">
        <f>IF($S$7=1,NL!H27,IF(cal!$S$7=2,EN!H27,IF(cal!$S$7=3,DE!H27,IF(cal!$S$7=4,FR!H27,IF(cal!$S$7=5,NR!H27,IF(cal!$S$7=6,SP!H27,IF(cal!$S$7=7,SW!H27,IF(cal!$S$7=8,TS!H27,IF(cal!$S$7=9,ExtraTaal1!H27,IF(cal!$S$7=10,ExtraTaal2!H27,IF(cal!$S$7=11,ExtraTaal3!H27,)))))))))))</f>
        <v>0</v>
      </c>
      <c r="J28" s="327">
        <f>IF($S$7=1,NL!I27,IF(cal!$S$7=2,EN!I27,IF(cal!$S$7=3,DE!I27,IF(cal!$S$7=4,FR!I27,IF(cal!$S$7=5,NR!I27,IF(cal!$S$7=6,SP!I27,IF(cal!$S$7=7,SW!I27,IF(cal!$S$7=8,TS!I27,IF(cal!$S$7=9,ExtraTaal1!I27,IF(cal!$S$7=10,ExtraTaal2!I27,IF(cal!$S$7=11,ExtraTaal3!I27,)))))))))))</f>
        <v>0</v>
      </c>
      <c r="K28" s="327">
        <f>IF($S$7=1,NL!J27,IF(cal!$S$7=2,EN!J27,IF(cal!$S$7=3,DE!J27,IF(cal!$S$7=4,FR!J27,IF(cal!$S$7=5,NR!J27,IF(cal!$S$7=6,SP!J27,IF(cal!$S$7=7,SW!J27,IF(cal!$S$7=8,TS!J27,IF(cal!$S$7=9,ExtraTaal1!J27,IF(cal!$S$7=10,ExtraTaal2!J27,IF(cal!$S$7=11,ExtraTaal3!J27,)))))))))))</f>
        <v>0</v>
      </c>
      <c r="L28" s="327">
        <f>IF($S$7=1,NL!K27,IF(cal!$S$7=2,EN!K27,IF(cal!$S$7=3,DE!K27,IF(cal!$S$7=4,FR!K27,IF(cal!$S$7=5,NR!K27,IF(cal!$S$7=6,SP!K27,IF(cal!$S$7=7,SW!K27,IF(cal!$S$7=8,TS!K27,IF(cal!$S$7=9,ExtraTaal1!K27,IF(cal!$S$7=10,ExtraTaal2!K27,IF(cal!$S$7=11,ExtraTaal3!K27,)))))))))))</f>
        <v>0</v>
      </c>
      <c r="M28" s="327">
        <f>IF($S$7=1,NL!L27,IF(cal!$S$7=2,EN!L27,IF(cal!$S$7=3,DE!L27,IF(cal!$S$7=4,FR!L27,IF(cal!$S$7=5,NR!L27,IF(cal!$S$7=6,SP!L27,IF(cal!$S$7=7,SW!L27,IF(cal!$S$7=8,TS!L27,IF(cal!$S$7=9,ExtraTaal1!L27,IF(cal!$S$7=10,ExtraTaal2!L27,IF(cal!$S$7=11,ExtraTaal3!L27,)))))))))))</f>
        <v>0</v>
      </c>
      <c r="N28" s="327">
        <f>IF($S$7=1,NL!M27,IF(cal!$S$7=2,EN!M27,IF(cal!$S$7=3,DE!M27,IF(cal!$S$7=4,FR!M27,IF(cal!$S$7=5,NR!M27,IF(cal!$S$7=6,SP!M27,IF(cal!$S$7=7,SW!M27,IF(cal!$S$7=8,TS!M27,IF(cal!$S$7=9,ExtraTaal1!M27,IF(cal!$S$7=10,ExtraTaal2!M27,IF(cal!$S$7=11,ExtraTaal3!M27,)))))))))))</f>
        <v>0</v>
      </c>
      <c r="O28" s="327">
        <f>IF($S$7=1,NL!N27,IF(cal!$S$7=2,EN!N27,IF(cal!$S$7=3,DE!N27,IF(cal!$S$7=4,FR!N27,IF(cal!$S$7=5,NR!N27,IF(cal!$S$7=6,SP!N27,IF(cal!$S$7=7,SW!N27,IF(cal!$S$7=8,TS!N27,IF(cal!$S$7=9,ExtraTaal1!N27,IF(cal!$S$7=10,ExtraTaal2!N27,IF(cal!$S$7=11,ExtraTaal3!N27,)))))))))))</f>
        <v>0</v>
      </c>
      <c r="P28" s="328">
        <f>IF($S$7=1,NL!O27,IF(cal!$S$7=2,EN!O27,IF(cal!$S$7=3,DE!O27,IF(cal!$S$7=4,FR!O27,IF(cal!$S$7=5,NR!O27,IF(cal!$S$7=6,SP!O27,IF(cal!$S$7=7,SW!O27,IF(cal!$S$7=8,TS!O27,IF(cal!$S$7=9,ExtraTaal1!O27,IF(cal!$S$7=10,ExtraTaal2!O27,IF(cal!$S$7=11,ExtraTaal3!O27,)))))))))))</f>
        <v>0</v>
      </c>
      <c r="Q28" s="207" t="s">
        <v>11</v>
      </c>
      <c r="R28" s="113" t="str">
        <f t="shared" si="4"/>
        <v>n-value</v>
      </c>
      <c r="S28" s="114" t="s">
        <v>11</v>
      </c>
      <c r="T28" s="113" t="s">
        <v>11</v>
      </c>
      <c r="U28" s="52" t="s">
        <v>11</v>
      </c>
      <c r="V28" s="52" t="s">
        <v>11</v>
      </c>
      <c r="W28" s="171"/>
      <c r="X28" s="132" t="str">
        <f t="shared" si="5"/>
        <v>H</v>
      </c>
      <c r="Y28" s="133">
        <f t="shared" si="6"/>
        <v>13</v>
      </c>
      <c r="Z28" s="132" t="str">
        <f t="shared" si="7"/>
        <v>B</v>
      </c>
      <c r="AA28" s="133">
        <f t="shared" si="8"/>
        <v>32</v>
      </c>
      <c r="AB28" s="132" t="str">
        <f t="shared" si="9"/>
        <v>L</v>
      </c>
      <c r="AC28" s="137">
        <f t="shared" si="10"/>
        <v>100</v>
      </c>
      <c r="AD28" s="135">
        <f t="shared" si="11"/>
        <v>0</v>
      </c>
      <c r="AE28" s="132" t="s">
        <v>61</v>
      </c>
      <c r="AF28" s="133">
        <f>AF22</f>
        <v>8</v>
      </c>
      <c r="AG28" s="132" t="s">
        <v>62</v>
      </c>
      <c r="AH28" s="133">
        <f>AH22</f>
        <v>18</v>
      </c>
      <c r="AI28" s="132" t="s">
        <v>63</v>
      </c>
      <c r="AJ28" s="137">
        <f>108*IF($X$4=1,1,IF($X$4=2,1/2.54))</f>
        <v>108</v>
      </c>
      <c r="AK28" s="135"/>
      <c r="AL28" s="132" t="s">
        <v>61</v>
      </c>
      <c r="AM28" s="133">
        <f>AM22</f>
        <v>10</v>
      </c>
      <c r="AN28" s="132" t="s">
        <v>62</v>
      </c>
      <c r="AO28" s="133">
        <f>AO22</f>
        <v>18</v>
      </c>
      <c r="AP28" s="132" t="s">
        <v>63</v>
      </c>
      <c r="AQ28" s="136">
        <f>AJ28</f>
        <v>108</v>
      </c>
      <c r="AR28" s="135"/>
      <c r="AS28" s="140"/>
      <c r="AT28" s="1"/>
      <c r="AU28" s="1"/>
      <c r="AV28" s="86"/>
      <c r="AW28" s="191" t="s">
        <v>61</v>
      </c>
      <c r="AX28" s="192">
        <f>AX22</f>
        <v>13</v>
      </c>
      <c r="AY28" s="191" t="s">
        <v>62</v>
      </c>
      <c r="AZ28" s="192">
        <f>AZ22</f>
        <v>27</v>
      </c>
      <c r="BA28" s="191" t="s">
        <v>63</v>
      </c>
      <c r="BB28" s="192">
        <f>IF($X$4=1,108.3,108.3/2.54)</f>
        <v>108.3</v>
      </c>
      <c r="BC28" s="193"/>
      <c r="BD28" s="83" t="s">
        <v>61</v>
      </c>
      <c r="BE28" s="84">
        <f>BE22</f>
        <v>13</v>
      </c>
      <c r="BF28" s="83" t="s">
        <v>62</v>
      </c>
      <c r="BG28" s="84">
        <f>BG22</f>
        <v>32</v>
      </c>
      <c r="BH28" s="83" t="s">
        <v>63</v>
      </c>
      <c r="BI28" s="84">
        <f>IF($X$4=1,100,100/2.54)</f>
        <v>100</v>
      </c>
      <c r="BJ28" s="82"/>
      <c r="BK28" s="83" t="s">
        <v>61</v>
      </c>
      <c r="BL28" s="84">
        <f>BL22</f>
        <v>13</v>
      </c>
      <c r="BM28" s="83" t="s">
        <v>62</v>
      </c>
      <c r="BN28" s="84">
        <f>BN22</f>
        <v>32</v>
      </c>
      <c r="BO28" s="83" t="s">
        <v>63</v>
      </c>
      <c r="BP28" s="84">
        <f>IF($X$4=1,100,100/2.54)</f>
        <v>100</v>
      </c>
      <c r="BQ28" s="82"/>
      <c r="BR28" s="86"/>
      <c r="BS28" s="83" t="s">
        <v>61</v>
      </c>
      <c r="BT28" s="84">
        <f>BT22</f>
        <v>19</v>
      </c>
      <c r="BU28" s="83" t="s">
        <v>62</v>
      </c>
      <c r="BV28" s="84">
        <f>BV22</f>
        <v>34</v>
      </c>
      <c r="BW28" s="83" t="s">
        <v>63</v>
      </c>
      <c r="BX28" s="141">
        <f>120*IF($X$4=1,1,IF($X$4=2,1/2.54))</f>
        <v>120</v>
      </c>
      <c r="BY28" s="82"/>
      <c r="BZ28" s="83" t="s">
        <v>61</v>
      </c>
      <c r="CA28" s="84">
        <f>CA22</f>
        <v>19</v>
      </c>
      <c r="CB28" s="83" t="s">
        <v>62</v>
      </c>
      <c r="CC28" s="84">
        <f>CC22</f>
        <v>34</v>
      </c>
      <c r="CD28" s="83" t="s">
        <v>63</v>
      </c>
      <c r="CE28" s="142">
        <f>BX28</f>
        <v>120</v>
      </c>
      <c r="CF28" s="82"/>
      <c r="CH28" s="83" t="s">
        <v>61</v>
      </c>
      <c r="CI28" s="84">
        <f>CI22</f>
        <v>15</v>
      </c>
      <c r="CJ28" s="83" t="s">
        <v>62</v>
      </c>
      <c r="CK28" s="84">
        <f>CK22</f>
        <v>32</v>
      </c>
      <c r="CL28" s="83" t="s">
        <v>63</v>
      </c>
      <c r="CM28" s="141">
        <f>120*IF($X$4=1,1,IF($X$4=2,1/2.54))</f>
        <v>120</v>
      </c>
      <c r="CN28" s="82"/>
      <c r="CO28" s="83" t="s">
        <v>61</v>
      </c>
      <c r="CP28" s="84">
        <f>CP22</f>
        <v>15</v>
      </c>
      <c r="CQ28" s="83" t="s">
        <v>62</v>
      </c>
      <c r="CR28" s="84">
        <f>CR22</f>
        <v>32</v>
      </c>
      <c r="CS28" s="83" t="s">
        <v>63</v>
      </c>
      <c r="CT28" s="142">
        <f>CM28</f>
        <v>120</v>
      </c>
      <c r="CU28" s="82"/>
      <c r="CW28" s="49">
        <f t="shared" si="3"/>
        <v>1</v>
      </c>
      <c r="CX28" s="49">
        <f t="shared" si="17"/>
        <v>0</v>
      </c>
      <c r="CY28" s="263">
        <f t="shared" si="18"/>
        <v>0</v>
      </c>
      <c r="CZ28" s="49">
        <f t="shared" si="19"/>
        <v>1</v>
      </c>
    </row>
    <row r="29" spans="2:104" ht="15" x14ac:dyDescent="0.25">
      <c r="B29" s="33">
        <v>0.2</v>
      </c>
      <c r="C29" s="3">
        <v>2</v>
      </c>
      <c r="D29" s="27">
        <f>(X29*($T$11^$Q29))*Watts*CF_Altit</f>
        <v>779.61797441526835</v>
      </c>
      <c r="E29" s="3">
        <f>ROUND(((D29/Watts)/(($S$9-$S$10)*1.163))*$E$14,IF($X$4=1,0,IF($X$4=2,2)))</f>
        <v>67</v>
      </c>
      <c r="F29" s="30">
        <f>($Y$30*(E29/$E$14)^$Y$32)*$F$14</f>
        <v>9.5680370198988743E-2</v>
      </c>
      <c r="G29" s="4">
        <f>(Z29*($W$11^R29))*Watts*CF_Altit</f>
        <v>167.76364343585763</v>
      </c>
      <c r="H29" s="4">
        <f>((G29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29+0.001448)*(Tl_cool-Tavg_cold)+(0.016908*$C29-0.033574))*1.039&gt;1,1,1/(1+((2258*((0.622/(($Z$11/(1*611*EXP(17.27*(Tavg_cold/(Tavg_cold+237.3))))))-1)*1000-(0.622/(($Z$11/(RH*611*EXP(17.27*(Tl_cool/(Tl_cool+237.3))))))-1)*1000))/(1005*(Tavg_cold-Tl_cool))))*1.039+((-0.000729*$C29+0.001448)*(Tl_cool-Tavg_cold)+(0.016908*$C29-0.033574))*1.039))))*Watts</f>
        <v>167.76364343585763</v>
      </c>
      <c r="I29" s="3">
        <f>ROUND(((H29/Watts)/((Tr_cool-Tv_cool)*1.163))*$I$14,IF($X$4=1,0,IF($X$4=2,2)))</f>
        <v>72</v>
      </c>
      <c r="J29" s="5">
        <f>($AA$30*(I29/$I$14)^$AA$32)*$J$14</f>
        <v>0.10950426958037363</v>
      </c>
      <c r="K29" s="59">
        <f>L29-8</f>
        <v>20</v>
      </c>
      <c r="L29" s="53">
        <f t="shared" ref="L29:M33" si="27">AB29</f>
        <v>28</v>
      </c>
      <c r="M29" s="46">
        <f t="shared" si="27"/>
        <v>1.7</v>
      </c>
      <c r="N29" s="64">
        <f>AD29*Cubics</f>
        <v>49</v>
      </c>
      <c r="O29" s="251">
        <f>((($D29/Watts)/(((p_atm*0.028964)/(8.31447*(20+273.15)))*(($N29/3600)/Cubics)*(1005+1870*((0.622)/(((p_atm)/($E$12*Pvs_Heat_in))-1)))))+Tl_heat)*Celc1+Celc2</f>
        <v>66.70265296066178</v>
      </c>
      <c r="P29" s="252">
        <f>(Tl_cool-(($G29/Watts)/(1006*$N29*kgss)))*Celc1+Celc2</f>
        <v>16.823936636990577</v>
      </c>
      <c r="Q29" s="220">
        <v>1</v>
      </c>
      <c r="R29" s="113">
        <f t="shared" si="4"/>
        <v>0.78069999999999995</v>
      </c>
      <c r="S29" s="113">
        <v>0.6</v>
      </c>
      <c r="T29" s="113">
        <v>1.1599999999999999</v>
      </c>
      <c r="U29" s="113">
        <v>0.78069999999999995</v>
      </c>
      <c r="V29" s="144">
        <v>0.87660000000000005</v>
      </c>
      <c r="W29" s="171">
        <f>(H29-G29)/H29</f>
        <v>0</v>
      </c>
      <c r="X29" s="118">
        <f t="shared" si="5"/>
        <v>779.61797441526835</v>
      </c>
      <c r="Y29" s="119" t="str">
        <f t="shared" si="6"/>
        <v>a</v>
      </c>
      <c r="Z29" s="120">
        <f t="shared" si="7"/>
        <v>167.76364343585763</v>
      </c>
      <c r="AA29" s="119" t="str">
        <f t="shared" si="8"/>
        <v>a</v>
      </c>
      <c r="AB29" s="121">
        <f t="shared" si="9"/>
        <v>28</v>
      </c>
      <c r="AC29" s="121">
        <f t="shared" si="10"/>
        <v>1.7</v>
      </c>
      <c r="AD29" s="122">
        <f t="shared" si="11"/>
        <v>49</v>
      </c>
      <c r="AE29" s="118">
        <v>894</v>
      </c>
      <c r="AF29" s="119" t="s">
        <v>49</v>
      </c>
      <c r="AG29" s="120">
        <v>97</v>
      </c>
      <c r="AH29" s="119" t="s">
        <v>49</v>
      </c>
      <c r="AI29" s="121">
        <v>24</v>
      </c>
      <c r="AJ29" s="121">
        <v>1.1000000000000001</v>
      </c>
      <c r="AK29" s="122">
        <v>66</v>
      </c>
      <c r="AL29" s="118">
        <f>AE29</f>
        <v>894</v>
      </c>
      <c r="AM29" s="119" t="s">
        <v>49</v>
      </c>
      <c r="AN29" s="120">
        <v>97</v>
      </c>
      <c r="AO29" s="119" t="s">
        <v>49</v>
      </c>
      <c r="AP29" s="121">
        <f t="shared" ref="AP29:AR33" si="28">AI29</f>
        <v>24</v>
      </c>
      <c r="AQ29" s="121">
        <f t="shared" si="28"/>
        <v>1.1000000000000001</v>
      </c>
      <c r="AR29" s="122">
        <f t="shared" si="28"/>
        <v>66</v>
      </c>
      <c r="AS29" s="124"/>
      <c r="AT29" s="1">
        <f>(AG29*((((Tv_cool-Tr_cool)/LN((Tv_cool-Tl_cool)/(Tr_cool-Tl_cool)))/((16-18)/LN((16-27)/(18-27))))^S29))*$G$14</f>
        <v>3.2441111111111066E-2</v>
      </c>
      <c r="AU29" s="1">
        <f>((AT29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29+0.00625)*(Tl_cool-(Tv_cool+Tr_cool)/2)-(-0.000625*$C29+0.00625)*10))))*$H$14</f>
        <v>96.999999999999986</v>
      </c>
      <c r="AV29" s="73"/>
      <c r="AW29" s="177">
        <v>1091</v>
      </c>
      <c r="AX29" s="178" t="s">
        <v>49</v>
      </c>
      <c r="AY29" s="179">
        <v>125</v>
      </c>
      <c r="AZ29" s="178" t="s">
        <v>49</v>
      </c>
      <c r="BA29" s="180">
        <v>28.8</v>
      </c>
      <c r="BB29" s="180">
        <v>2</v>
      </c>
      <c r="BC29" s="181">
        <v>90</v>
      </c>
      <c r="BD29" s="67">
        <v>668.81662999999992</v>
      </c>
      <c r="BE29" s="68" t="s">
        <v>49</v>
      </c>
      <c r="BF29" s="69">
        <v>161.0765044853346</v>
      </c>
      <c r="BG29" s="68" t="s">
        <v>49</v>
      </c>
      <c r="BH29" s="70">
        <v>28</v>
      </c>
      <c r="BI29" s="70">
        <v>1.7</v>
      </c>
      <c r="BJ29" s="71">
        <v>49</v>
      </c>
      <c r="BK29" s="67">
        <v>779.61797441526835</v>
      </c>
      <c r="BL29" s="68" t="s">
        <v>49</v>
      </c>
      <c r="BM29" s="69">
        <v>167.76364343585763</v>
      </c>
      <c r="BN29" s="68" t="s">
        <v>49</v>
      </c>
      <c r="BO29" s="70">
        <f t="shared" ref="BO29:BQ33" si="29">BH29</f>
        <v>28</v>
      </c>
      <c r="BP29" s="70">
        <f t="shared" si="29"/>
        <v>1.7</v>
      </c>
      <c r="BQ29" s="71">
        <f t="shared" si="29"/>
        <v>49</v>
      </c>
      <c r="BR29" s="73"/>
      <c r="BS29" s="67">
        <v>2014.2641353059967</v>
      </c>
      <c r="BT29" s="68" t="s">
        <v>49</v>
      </c>
      <c r="BU29" s="69">
        <v>361.83760350339048</v>
      </c>
      <c r="BV29" s="68" t="s">
        <v>49</v>
      </c>
      <c r="BW29" s="70">
        <v>29.1043935579596</v>
      </c>
      <c r="BX29" s="70">
        <v>4.5999999999999996</v>
      </c>
      <c r="BY29" s="71">
        <v>179</v>
      </c>
      <c r="BZ29" s="67">
        <v>3021.3962029589957</v>
      </c>
      <c r="CA29" s="68" t="s">
        <v>49</v>
      </c>
      <c r="CB29" s="69">
        <v>398.02136385372961</v>
      </c>
      <c r="CC29" s="68" t="s">
        <v>49</v>
      </c>
      <c r="CD29" s="70">
        <v>29.1043935579596</v>
      </c>
      <c r="CE29" s="70">
        <v>4.5999999999999996</v>
      </c>
      <c r="CF29" s="71">
        <v>179</v>
      </c>
      <c r="CH29" s="67">
        <f>BS29*0.9</f>
        <v>1812.8377217753971</v>
      </c>
      <c r="CI29" s="68" t="s">
        <v>49</v>
      </c>
      <c r="CJ29" s="69">
        <f>BU29*0.9</f>
        <v>325.65384315305147</v>
      </c>
      <c r="CK29" s="68" t="s">
        <v>49</v>
      </c>
      <c r="CL29" s="70">
        <v>29.1043935579596</v>
      </c>
      <c r="CM29" s="70">
        <v>4.5999999999999996</v>
      </c>
      <c r="CN29" s="71">
        <v>179</v>
      </c>
      <c r="CO29" s="67">
        <f>BZ29*0.9</f>
        <v>2719.2565826630962</v>
      </c>
      <c r="CP29" s="68" t="s">
        <v>49</v>
      </c>
      <c r="CQ29" s="69">
        <f>CB29*0.9</f>
        <v>358.21922746835668</v>
      </c>
      <c r="CR29" s="68" t="s">
        <v>49</v>
      </c>
      <c r="CS29" s="70">
        <v>29.1043935579596</v>
      </c>
      <c r="CT29" s="70">
        <v>4.5999999999999996</v>
      </c>
      <c r="CU29" s="71">
        <v>179</v>
      </c>
      <c r="CW29" s="49">
        <f t="shared" si="3"/>
        <v>1</v>
      </c>
      <c r="CX29" s="49">
        <f t="shared" si="17"/>
        <v>167.76364343585763</v>
      </c>
      <c r="CY29" s="263">
        <f t="shared" si="18"/>
        <v>0</v>
      </c>
      <c r="CZ29" s="49">
        <f t="shared" si="19"/>
        <v>1</v>
      </c>
    </row>
    <row r="30" spans="2:104" ht="15" x14ac:dyDescent="0.25">
      <c r="B30" s="33">
        <v>0.4</v>
      </c>
      <c r="C30" s="3">
        <v>4</v>
      </c>
      <c r="D30" s="27">
        <f>(X30*($T$11^$Q30))*Watts*CF_Altit</f>
        <v>1724.2585778611092</v>
      </c>
      <c r="E30" s="3">
        <f>ROUND(((D30/Watts)/(($S$9-$S$10)*1.163))*$E$14,IF($X$4=1,0,IF($X$4=2,2)))</f>
        <v>148</v>
      </c>
      <c r="F30" s="30">
        <f>($Y$30*(E30/$E$14)^$Y$32)*$F$14</f>
        <v>0.42283763794736967</v>
      </c>
      <c r="G30" s="4">
        <f>(Z30*($W$11^R30))*Watts*CF_Altit</f>
        <v>304.61668712391349</v>
      </c>
      <c r="H30" s="4">
        <f>((G30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30+0.001448)*(Tl_cool-Tavg_cold)+(0.016908*$C30-0.033574))*1.039&gt;1,1,1/(1+((2258*((0.622/(($Z$11/(1*611*EXP(17.27*(Tavg_cold/(Tavg_cold+237.3))))))-1)*1000-(0.622/(($Z$11/(RH*611*EXP(17.27*(Tl_cool/(Tl_cool+237.3))))))-1)*1000))/(1005*(Tavg_cold-Tl_cool))))*1.039+((-0.000729*$C30+0.001448)*(Tl_cool-Tavg_cold)+(0.016908*$C30-0.033574))*1.039))))*Watts</f>
        <v>304.61668712391349</v>
      </c>
      <c r="I30" s="3">
        <f>ROUND(((H30/Watts)/((Tr_cool-Tv_cool)*1.163))*$I$14,IF($X$4=1,0,IF($X$4=2,2)))</f>
        <v>131</v>
      </c>
      <c r="J30" s="5">
        <f>($AA$30*(I30/$I$14)^$AA$32)*$J$14</f>
        <v>0.33636945404545421</v>
      </c>
      <c r="K30" s="59">
        <f>L30-8</f>
        <v>26</v>
      </c>
      <c r="L30" s="53">
        <f t="shared" si="27"/>
        <v>34</v>
      </c>
      <c r="M30" s="46">
        <f t="shared" si="27"/>
        <v>2.9</v>
      </c>
      <c r="N30" s="64">
        <f>AD30*Cubics</f>
        <v>114</v>
      </c>
      <c r="O30" s="253">
        <f>((($D30/Watts)/(((p_atm*0.028964)/(8.31447*(20+273.15)))*(($N30/3600)/Cubics)*(1005+1870*((0.622)/(((p_atm)/($E$12*Pvs_Heat_in))-1)))))+Tl_heat)*Celc1+Celc2</f>
        <v>64.396970058268408</v>
      </c>
      <c r="P30" s="254">
        <f>(Tl_cool-(($G30/Watts)/(1006*$N30*kgss)))*Celc1+Celc2</f>
        <v>19.058055049909129</v>
      </c>
      <c r="Q30" s="220">
        <v>1</v>
      </c>
      <c r="R30" s="113">
        <f t="shared" si="4"/>
        <v>0.85870000000000002</v>
      </c>
      <c r="S30" s="113">
        <v>0.68</v>
      </c>
      <c r="T30" s="113">
        <v>1.04</v>
      </c>
      <c r="U30" s="113">
        <v>0.85870000000000002</v>
      </c>
      <c r="V30" s="144">
        <v>0.87749999999999995</v>
      </c>
      <c r="W30" s="171">
        <f>(H30-G30)/H30</f>
        <v>0</v>
      </c>
      <c r="X30" s="123">
        <f t="shared" si="5"/>
        <v>1724.2585778611092</v>
      </c>
      <c r="Y30" s="124">
        <f t="shared" si="6"/>
        <v>3.6052122831577476E-5</v>
      </c>
      <c r="Z30" s="124">
        <f t="shared" si="7"/>
        <v>304.61668712391349</v>
      </c>
      <c r="AA30" s="124">
        <f t="shared" si="8"/>
        <v>3.6052122831577476E-5</v>
      </c>
      <c r="AB30" s="125">
        <f t="shared" si="9"/>
        <v>34</v>
      </c>
      <c r="AC30" s="125">
        <f t="shared" si="10"/>
        <v>2.9</v>
      </c>
      <c r="AD30" s="126">
        <f t="shared" si="11"/>
        <v>114</v>
      </c>
      <c r="AE30" s="123">
        <v>1605</v>
      </c>
      <c r="AF30" s="124">
        <v>5.6054747775989447E-4</v>
      </c>
      <c r="AG30" s="124">
        <v>212</v>
      </c>
      <c r="AH30" s="124">
        <f>AF30</f>
        <v>5.6054747775989447E-4</v>
      </c>
      <c r="AI30" s="125">
        <v>28</v>
      </c>
      <c r="AJ30" s="125">
        <v>2.1</v>
      </c>
      <c r="AK30" s="126">
        <v>112</v>
      </c>
      <c r="AL30" s="123">
        <f>AE30</f>
        <v>1605</v>
      </c>
      <c r="AM30" s="124">
        <f>AH30</f>
        <v>5.6054747775989447E-4</v>
      </c>
      <c r="AN30" s="124">
        <v>212</v>
      </c>
      <c r="AO30" s="124">
        <f>AM30</f>
        <v>5.6054747775989447E-4</v>
      </c>
      <c r="AP30" s="125">
        <f t="shared" si="28"/>
        <v>28</v>
      </c>
      <c r="AQ30" s="125">
        <f t="shared" si="28"/>
        <v>2.1</v>
      </c>
      <c r="AR30" s="126">
        <f t="shared" si="28"/>
        <v>112</v>
      </c>
      <c r="AS30" s="124"/>
      <c r="AT30" s="1">
        <f>(AG30*((((Tv_cool-Tr_cool)/LN((Tv_cool-Tl_cool)/(Tr_cool-Tl_cool)))/((16-18)/LN((16-27)/(18-27))))^S30))*$G$14</f>
        <v>7.090222222222213E-2</v>
      </c>
      <c r="AU30" s="1">
        <f>((AT30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30+0.00625)*(Tl_cool-(Tv_cool+Tr_cool)/2)-(-0.000625*$C30+0.00625)*10))))*$H$14</f>
        <v>212</v>
      </c>
      <c r="AV30" s="73"/>
      <c r="AW30" s="182">
        <v>1779</v>
      </c>
      <c r="AX30" s="183">
        <v>6.8499999999999998E-5</v>
      </c>
      <c r="AY30" s="183">
        <v>253</v>
      </c>
      <c r="AZ30" s="261">
        <v>6.4513000000000004E-6</v>
      </c>
      <c r="BA30" s="184">
        <v>33.1</v>
      </c>
      <c r="BB30" s="184">
        <v>3.5</v>
      </c>
      <c r="BC30" s="185">
        <v>133</v>
      </c>
      <c r="BD30" s="72">
        <v>1333.8473699999997</v>
      </c>
      <c r="BE30" s="73">
        <v>4.8290800000000002E-5</v>
      </c>
      <c r="BF30" s="73">
        <v>292.52052512718586</v>
      </c>
      <c r="BG30" s="73">
        <v>1.411968325044228E-5</v>
      </c>
      <c r="BH30" s="74">
        <v>34</v>
      </c>
      <c r="BI30" s="74">
        <v>2.9</v>
      </c>
      <c r="BJ30" s="75">
        <v>114</v>
      </c>
      <c r="BK30" s="72">
        <v>1724.2585778611092</v>
      </c>
      <c r="BL30" s="73">
        <v>3.6052122831577476E-5</v>
      </c>
      <c r="BM30" s="73">
        <v>304.61668712391349</v>
      </c>
      <c r="BN30" s="73">
        <f>BL30</f>
        <v>3.6052122831577476E-5</v>
      </c>
      <c r="BO30" s="74">
        <f t="shared" si="29"/>
        <v>34</v>
      </c>
      <c r="BP30" s="74">
        <f t="shared" si="29"/>
        <v>2.9</v>
      </c>
      <c r="BQ30" s="75">
        <f t="shared" si="29"/>
        <v>114</v>
      </c>
      <c r="BR30" s="73"/>
      <c r="BS30" s="72">
        <v>3178.8344395809327</v>
      </c>
      <c r="BT30" s="73">
        <v>3.3026323224877546E-5</v>
      </c>
      <c r="BU30" s="73">
        <v>706.94791235581465</v>
      </c>
      <c r="BV30" s="73">
        <v>9.8542791184631786E-5</v>
      </c>
      <c r="BW30" s="74">
        <v>32.553468286911865</v>
      </c>
      <c r="BX30" s="74">
        <v>9.4</v>
      </c>
      <c r="BY30" s="75">
        <v>346</v>
      </c>
      <c r="BZ30" s="72">
        <v>4768.2516593713999</v>
      </c>
      <c r="CA30" s="73">
        <v>3.3622644513664882E-5</v>
      </c>
      <c r="CB30" s="73">
        <v>777.6427035913963</v>
      </c>
      <c r="CC30" s="73">
        <v>3.3622644513664882E-5</v>
      </c>
      <c r="CD30" s="74">
        <v>32.553468286911865</v>
      </c>
      <c r="CE30" s="74">
        <v>9.4</v>
      </c>
      <c r="CF30" s="75">
        <v>346</v>
      </c>
      <c r="CH30" s="72">
        <f t="shared" ref="CH30:CH33" si="30">BS30*0.9</f>
        <v>2860.9509956228394</v>
      </c>
      <c r="CI30" s="73">
        <v>3.3026323224877546E-5</v>
      </c>
      <c r="CJ30" s="73">
        <f t="shared" ref="CJ30:CJ33" si="31">BU30*0.9</f>
        <v>636.25312112023323</v>
      </c>
      <c r="CK30" s="73">
        <v>9.8542791184631786E-5</v>
      </c>
      <c r="CL30" s="74">
        <v>32.553468286911865</v>
      </c>
      <c r="CM30" s="74">
        <v>9.4</v>
      </c>
      <c r="CN30" s="75">
        <v>346</v>
      </c>
      <c r="CO30" s="72">
        <f t="shared" ref="CO30:CO33" si="32">BZ30*0.9</f>
        <v>4291.42649343426</v>
      </c>
      <c r="CP30" s="73">
        <v>3.3622644513664882E-5</v>
      </c>
      <c r="CQ30" s="73">
        <f t="shared" ref="CQ30:CQ33" si="33">CB30*0.9</f>
        <v>699.87843323225673</v>
      </c>
      <c r="CR30" s="73">
        <v>3.3622644513664882E-5</v>
      </c>
      <c r="CS30" s="74">
        <v>32.553468286911865</v>
      </c>
      <c r="CT30" s="74">
        <v>9.4</v>
      </c>
      <c r="CU30" s="75">
        <v>346</v>
      </c>
      <c r="CW30" s="49">
        <f t="shared" si="3"/>
        <v>1</v>
      </c>
      <c r="CX30" s="49">
        <f t="shared" si="17"/>
        <v>304.61668712391349</v>
      </c>
      <c r="CY30" s="263">
        <f t="shared" si="18"/>
        <v>0</v>
      </c>
      <c r="CZ30" s="49">
        <f t="shared" si="19"/>
        <v>1</v>
      </c>
    </row>
    <row r="31" spans="2:104" ht="15" x14ac:dyDescent="0.25">
      <c r="B31" s="33">
        <v>0.6</v>
      </c>
      <c r="C31" s="3">
        <v>6</v>
      </c>
      <c r="D31" s="27">
        <f>(X31*($T$11^$Q31))*Watts*CF_Altit</f>
        <v>2570.3939704182585</v>
      </c>
      <c r="E31" s="3">
        <f>ROUND(((D31/Watts)/(($S$9-$S$10)*1.163))*$E$14,IF($X$4=1,0,IF($X$4=2,2)))</f>
        <v>221</v>
      </c>
      <c r="F31" s="30">
        <f>($Y$30*(E31/$E$14)^$Y$32)*$F$14</f>
        <v>0.8967442523572674</v>
      </c>
      <c r="G31" s="4">
        <f>(Z31*($W$11^R31))*Watts*CF_Altit</f>
        <v>435.03767942348554</v>
      </c>
      <c r="H31" s="4">
        <f>((G31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31+0.001448)*(Tl_cool-Tavg_cold)+(0.016908*$C31-0.033574))*1.039&gt;1,1,1/(1+((2258*((0.622/(($Z$11/(1*611*EXP(17.27*(Tavg_cold/(Tavg_cold+237.3))))))-1)*1000-(0.622/(($Z$11/(RH*611*EXP(17.27*(Tl_cool/(Tl_cool+237.3))))))-1)*1000))/(1005*(Tavg_cold-Tl_cool))))*1.039+((-0.000729*$C31+0.001448)*(Tl_cool-Tavg_cold)+(0.016908*$C31-0.033574))*1.039))))*Watts</f>
        <v>435.03767942348554</v>
      </c>
      <c r="I31" s="3">
        <f>ROUND(((H31/Watts)/((Tr_cool-Tv_cool)*1.163))*$I$14,IF($X$4=1,0,IF($X$4=2,2)))</f>
        <v>187</v>
      </c>
      <c r="J31" s="5">
        <f>($AA$30*(I31/$I$14)^$AA$32)*$J$14</f>
        <v>0.65559560177938114</v>
      </c>
      <c r="K31" s="59">
        <f>L31-8</f>
        <v>30</v>
      </c>
      <c r="L31" s="53">
        <f t="shared" si="27"/>
        <v>38</v>
      </c>
      <c r="M31" s="46">
        <f t="shared" si="27"/>
        <v>5</v>
      </c>
      <c r="N31" s="64">
        <f>AD31*Cubics</f>
        <v>174</v>
      </c>
      <c r="O31" s="253">
        <f>((($D31/Watts)/(((p_atm*0.028964)/(8.31447*(20+273.15)))*(($N31/3600)/Cubics)*(1005+1870*((0.622)/(((p_atm)/($E$12*Pvs_Heat_in))-1)))))+Tl_heat)*Celc1+Celc2</f>
        <v>63.361693332788263</v>
      </c>
      <c r="P31" s="254">
        <f>(Tl_cool-(($G31/Watts)/(1006*$N31*kgss)))*Celc1+Celc2</f>
        <v>19.568856318666882</v>
      </c>
      <c r="Q31" s="220">
        <v>1</v>
      </c>
      <c r="R31" s="113">
        <f t="shared" si="4"/>
        <v>0.8831</v>
      </c>
      <c r="S31" s="113">
        <v>0.79</v>
      </c>
      <c r="T31" s="113">
        <v>0.95</v>
      </c>
      <c r="U31" s="113">
        <v>0.8831</v>
      </c>
      <c r="V31" s="144">
        <v>0.88200000000000001</v>
      </c>
      <c r="W31" s="171">
        <f>(H31-G31)/H31</f>
        <v>0</v>
      </c>
      <c r="X31" s="123">
        <f t="shared" si="5"/>
        <v>2570.3939704182585</v>
      </c>
      <c r="Y31" s="119" t="str">
        <f t="shared" si="6"/>
        <v>b</v>
      </c>
      <c r="Z31" s="124">
        <f t="shared" si="7"/>
        <v>435.03767942348554</v>
      </c>
      <c r="AA31" s="119" t="str">
        <f t="shared" si="8"/>
        <v>b</v>
      </c>
      <c r="AB31" s="125">
        <f t="shared" si="9"/>
        <v>38</v>
      </c>
      <c r="AC31" s="125">
        <f t="shared" si="10"/>
        <v>5</v>
      </c>
      <c r="AD31" s="126">
        <f t="shared" si="11"/>
        <v>174</v>
      </c>
      <c r="AE31" s="123">
        <v>2260</v>
      </c>
      <c r="AF31" s="119" t="s">
        <v>50</v>
      </c>
      <c r="AG31" s="124">
        <v>336</v>
      </c>
      <c r="AH31" s="119" t="s">
        <v>50</v>
      </c>
      <c r="AI31" s="125">
        <v>38</v>
      </c>
      <c r="AJ31" s="125">
        <v>4</v>
      </c>
      <c r="AK31" s="126">
        <v>150</v>
      </c>
      <c r="AL31" s="123">
        <f>AE31</f>
        <v>2260</v>
      </c>
      <c r="AM31" s="119" t="s">
        <v>50</v>
      </c>
      <c r="AN31" s="124">
        <v>336</v>
      </c>
      <c r="AO31" s="119" t="s">
        <v>50</v>
      </c>
      <c r="AP31" s="125">
        <f t="shared" si="28"/>
        <v>38</v>
      </c>
      <c r="AQ31" s="125">
        <f t="shared" si="28"/>
        <v>4</v>
      </c>
      <c r="AR31" s="126">
        <f t="shared" si="28"/>
        <v>150</v>
      </c>
      <c r="AS31" s="124"/>
      <c r="AT31" s="1">
        <f>(AG31*((((Tv_cool-Tr_cool)/LN((Tv_cool-Tl_cool)/(Tr_cool-Tl_cool)))/((16-18)/LN((16-27)/(18-27))))^S31))*$G$14</f>
        <v>0.11237333333333319</v>
      </c>
      <c r="AU31" s="1">
        <f>((AT31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31+0.00625)*(Tl_cool-(Tv_cool+Tr_cool)/2)-(-0.000625*$C31+0.00625)*10))))*$H$14</f>
        <v>336</v>
      </c>
      <c r="AV31" s="73"/>
      <c r="AW31" s="182">
        <v>2367</v>
      </c>
      <c r="AX31" s="178" t="s">
        <v>50</v>
      </c>
      <c r="AY31" s="183">
        <v>383</v>
      </c>
      <c r="AZ31" s="178" t="s">
        <v>50</v>
      </c>
      <c r="BA31" s="184">
        <v>39.200000000000003</v>
      </c>
      <c r="BB31" s="184">
        <v>6.5</v>
      </c>
      <c r="BC31" s="185">
        <v>208</v>
      </c>
      <c r="BD31" s="72">
        <v>1881.3568699999998</v>
      </c>
      <c r="BE31" s="68" t="s">
        <v>50</v>
      </c>
      <c r="BF31" s="73">
        <v>420.5303054278088</v>
      </c>
      <c r="BG31" s="68" t="s">
        <v>50</v>
      </c>
      <c r="BH31" s="74">
        <v>38</v>
      </c>
      <c r="BI31" s="74">
        <v>5</v>
      </c>
      <c r="BJ31" s="75">
        <v>174</v>
      </c>
      <c r="BK31" s="72">
        <v>2570.3939704182585</v>
      </c>
      <c r="BL31" s="68" t="s">
        <v>50</v>
      </c>
      <c r="BM31" s="73">
        <v>435.03767942348554</v>
      </c>
      <c r="BN31" s="68" t="s">
        <v>50</v>
      </c>
      <c r="BO31" s="74">
        <f t="shared" si="29"/>
        <v>38</v>
      </c>
      <c r="BP31" s="74">
        <f t="shared" si="29"/>
        <v>5</v>
      </c>
      <c r="BQ31" s="75">
        <f t="shared" si="29"/>
        <v>174</v>
      </c>
      <c r="BR31" s="73"/>
      <c r="BS31" s="72">
        <v>4151.252023935338</v>
      </c>
      <c r="BT31" s="68" t="s">
        <v>50</v>
      </c>
      <c r="BU31" s="73">
        <v>1046.014328903128</v>
      </c>
      <c r="BV31" s="68" t="s">
        <v>50</v>
      </c>
      <c r="BW31" s="74">
        <v>38.531203067291003</v>
      </c>
      <c r="BX31" s="74">
        <v>16.899999999999999</v>
      </c>
      <c r="BY31" s="75">
        <v>496</v>
      </c>
      <c r="BZ31" s="72">
        <v>6226.8780359030079</v>
      </c>
      <c r="CA31" s="68" t="s">
        <v>50</v>
      </c>
      <c r="CB31" s="73">
        <v>1150.6157617934409</v>
      </c>
      <c r="CC31" s="68" t="s">
        <v>50</v>
      </c>
      <c r="CD31" s="74">
        <v>38.531203067291003</v>
      </c>
      <c r="CE31" s="74">
        <v>16.899999999999999</v>
      </c>
      <c r="CF31" s="75">
        <v>496</v>
      </c>
      <c r="CH31" s="72">
        <f t="shared" si="30"/>
        <v>3736.1268215418045</v>
      </c>
      <c r="CI31" s="68" t="s">
        <v>50</v>
      </c>
      <c r="CJ31" s="73">
        <f t="shared" si="31"/>
        <v>941.41289601281517</v>
      </c>
      <c r="CK31" s="68" t="s">
        <v>50</v>
      </c>
      <c r="CL31" s="74">
        <v>38.531203067291003</v>
      </c>
      <c r="CM31" s="74">
        <v>16.899999999999999</v>
      </c>
      <c r="CN31" s="75">
        <v>496</v>
      </c>
      <c r="CO31" s="72">
        <f t="shared" si="32"/>
        <v>5604.1902323127069</v>
      </c>
      <c r="CP31" s="68" t="s">
        <v>50</v>
      </c>
      <c r="CQ31" s="73">
        <f t="shared" si="33"/>
        <v>1035.5541856140969</v>
      </c>
      <c r="CR31" s="68" t="s">
        <v>50</v>
      </c>
      <c r="CS31" s="74">
        <v>38.531203067291003</v>
      </c>
      <c r="CT31" s="74">
        <v>16.899999999999999</v>
      </c>
      <c r="CU31" s="75">
        <v>496</v>
      </c>
      <c r="CW31" s="49">
        <f t="shared" si="3"/>
        <v>1</v>
      </c>
      <c r="CX31" s="49">
        <f t="shared" si="17"/>
        <v>435.03767942348554</v>
      </c>
      <c r="CY31" s="263">
        <f t="shared" si="18"/>
        <v>0</v>
      </c>
      <c r="CZ31" s="49">
        <f t="shared" si="19"/>
        <v>1</v>
      </c>
    </row>
    <row r="32" spans="2:104" ht="15" x14ac:dyDescent="0.25">
      <c r="B32" s="33">
        <v>0.8</v>
      </c>
      <c r="C32" s="3">
        <v>8</v>
      </c>
      <c r="D32" s="27">
        <f>(X32*($T$11^$Q32))*Watts*CF_Altit</f>
        <v>3318.0241520867162</v>
      </c>
      <c r="E32" s="3">
        <f>ROUND(((D32/Watts)/(($S$9-$S$10)*1.163))*$E$14,IF($X$4=1,0,IF($X$4=2,2)))</f>
        <v>285</v>
      </c>
      <c r="F32" s="30">
        <f>($Y$30*(E32/$E$14)^$Y$32)*$F$14</f>
        <v>1.4446655180391863</v>
      </c>
      <c r="G32" s="4">
        <f>(Z32*($W$11^R32))*Watts*CF_Altit</f>
        <v>559.02662033457375</v>
      </c>
      <c r="H32" s="4">
        <f>((G32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32+0.001448)*(Tl_cool-Tavg_cold)+(0.016908*$C32-0.033574))*1.039&gt;1,1,1/(1+((2258*((0.622/(($Z$11/(1*611*EXP(17.27*(Tavg_cold/(Tavg_cold+237.3))))))-1)*1000-(0.622/(($Z$11/(RH*611*EXP(17.27*(Tl_cool/(Tl_cool+237.3))))))-1)*1000))/(1005*(Tavg_cold-Tl_cool))))*1.039+((-0.000729*$C32+0.001448)*(Tl_cool-Tavg_cold)+(0.016908*$C32-0.033574))*1.039))))*Watts</f>
        <v>559.02662033457375</v>
      </c>
      <c r="I32" s="3">
        <f>ROUND(((H32/Watts)/((Tr_cool-Tv_cool)*1.163))*$I$14,IF($X$4=1,0,IF($X$4=2,2)))</f>
        <v>240</v>
      </c>
      <c r="J32" s="5">
        <f>($AA$30*(I32/$I$14)^$AA$32)*$J$14</f>
        <v>1.0467168154444026</v>
      </c>
      <c r="K32" s="59">
        <f>L32-8</f>
        <v>37</v>
      </c>
      <c r="L32" s="53">
        <f t="shared" si="27"/>
        <v>45</v>
      </c>
      <c r="M32" s="46">
        <f t="shared" si="27"/>
        <v>8.8000000000000007</v>
      </c>
      <c r="N32" s="64">
        <f>AD32*Cubics</f>
        <v>235</v>
      </c>
      <c r="O32" s="253">
        <f>((($D32/Watts)/(((p_atm*0.028964)/(8.31447*(20+273.15)))*(($N32/3600)/Cubics)*(1005+1870*((0.622)/(((p_atm)/($E$12*Pvs_Heat_in))-1)))))+Tl_heat)*Celc1+Celc2</f>
        <v>61.444553850468544</v>
      </c>
      <c r="P32" s="254">
        <f>(Tl_cool-(($G32/Watts)/(1006*$N32*kgss)))*Celc1+Celc2</f>
        <v>19.929621559522243</v>
      </c>
      <c r="Q32" s="220">
        <v>1</v>
      </c>
      <c r="R32" s="113">
        <f t="shared" si="4"/>
        <v>0.85389999999999999</v>
      </c>
      <c r="S32" s="113">
        <v>0.87</v>
      </c>
      <c r="T32" s="52">
        <v>0.95</v>
      </c>
      <c r="U32" s="113">
        <v>0.85389999999999999</v>
      </c>
      <c r="V32" s="144">
        <v>0.89500000000000002</v>
      </c>
      <c r="W32" s="171">
        <f>(H32-G32)/H32</f>
        <v>0</v>
      </c>
      <c r="X32" s="123">
        <f t="shared" si="5"/>
        <v>3318.0241520867162</v>
      </c>
      <c r="Y32" s="124">
        <f t="shared" si="6"/>
        <v>1.8750009582627225</v>
      </c>
      <c r="Z32" s="124">
        <f t="shared" si="7"/>
        <v>559.02662033457375</v>
      </c>
      <c r="AA32" s="124">
        <f t="shared" si="8"/>
        <v>1.8750009582627225</v>
      </c>
      <c r="AB32" s="125">
        <f t="shared" si="9"/>
        <v>45</v>
      </c>
      <c r="AC32" s="125">
        <f t="shared" si="10"/>
        <v>8.8000000000000007</v>
      </c>
      <c r="AD32" s="126">
        <f t="shared" si="11"/>
        <v>235</v>
      </c>
      <c r="AE32" s="123">
        <v>2881</v>
      </c>
      <c r="AF32" s="124">
        <v>1.8235155847906248</v>
      </c>
      <c r="AG32" s="124">
        <v>465</v>
      </c>
      <c r="AH32" s="124">
        <f>AF32</f>
        <v>1.8235155847906248</v>
      </c>
      <c r="AI32" s="125">
        <v>43</v>
      </c>
      <c r="AJ32" s="125">
        <v>6.6</v>
      </c>
      <c r="AK32" s="126">
        <v>193</v>
      </c>
      <c r="AL32" s="123">
        <f>AE32</f>
        <v>2881</v>
      </c>
      <c r="AM32" s="124">
        <f>AH32</f>
        <v>1.8235155847906248</v>
      </c>
      <c r="AN32" s="124">
        <v>465</v>
      </c>
      <c r="AO32" s="124">
        <f>AM32</f>
        <v>1.8235155847906248</v>
      </c>
      <c r="AP32" s="125">
        <f t="shared" si="28"/>
        <v>43</v>
      </c>
      <c r="AQ32" s="125">
        <f t="shared" si="28"/>
        <v>6.6</v>
      </c>
      <c r="AR32" s="126">
        <f t="shared" si="28"/>
        <v>193</v>
      </c>
      <c r="AS32" s="124"/>
      <c r="AT32" s="1">
        <f>(AG32*((((Tv_cool-Tr_cool)/LN((Tv_cool-Tl_cool)/(Tr_cool-Tl_cool)))/((16-18)/LN((16-27)/(18-27))))^S32))*$G$14</f>
        <v>0.15551666666666647</v>
      </c>
      <c r="AU32" s="1">
        <f>((AT32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32+0.00625)*(Tl_cool-(Tv_cool+Tr_cool)/2)-(-0.000625*$C32+0.00625)*10))))*$H$14</f>
        <v>465</v>
      </c>
      <c r="AV32" s="73"/>
      <c r="AW32" s="182">
        <v>2900</v>
      </c>
      <c r="AX32" s="183">
        <v>1.8</v>
      </c>
      <c r="AY32" s="183">
        <v>513</v>
      </c>
      <c r="AZ32" s="183">
        <v>2</v>
      </c>
      <c r="BA32" s="184">
        <v>46.5</v>
      </c>
      <c r="BB32" s="184">
        <v>11.5</v>
      </c>
      <c r="BC32" s="185">
        <v>285</v>
      </c>
      <c r="BD32" s="72">
        <v>2311.3451299999997</v>
      </c>
      <c r="BE32" s="73">
        <v>1.88069</v>
      </c>
      <c r="BF32" s="73">
        <v>545.10584538720343</v>
      </c>
      <c r="BG32" s="73">
        <v>1.9390875559456291</v>
      </c>
      <c r="BH32" s="74">
        <v>45</v>
      </c>
      <c r="BI32" s="74">
        <v>8.8000000000000007</v>
      </c>
      <c r="BJ32" s="75">
        <v>235</v>
      </c>
      <c r="BK32" s="72">
        <v>3318.0241520867162</v>
      </c>
      <c r="BL32" s="73">
        <v>1.8750009582627225</v>
      </c>
      <c r="BM32" s="73">
        <v>559.02662033457375</v>
      </c>
      <c r="BN32" s="73">
        <f>BL32</f>
        <v>1.8750009582627225</v>
      </c>
      <c r="BO32" s="74">
        <f t="shared" si="29"/>
        <v>45</v>
      </c>
      <c r="BP32" s="74">
        <f t="shared" si="29"/>
        <v>8.8000000000000007</v>
      </c>
      <c r="BQ32" s="75">
        <f t="shared" si="29"/>
        <v>235</v>
      </c>
      <c r="BR32" s="73"/>
      <c r="BS32" s="72">
        <v>5016.7146488614417</v>
      </c>
      <c r="BT32" s="73">
        <v>2</v>
      </c>
      <c r="BU32" s="73">
        <v>1381.2145170797912</v>
      </c>
      <c r="BV32" s="73">
        <v>2</v>
      </c>
      <c r="BW32" s="74">
        <v>46.544850742514384</v>
      </c>
      <c r="BX32" s="74">
        <v>27.7</v>
      </c>
      <c r="BY32" s="75">
        <v>660</v>
      </c>
      <c r="BZ32" s="72">
        <v>7525.0719732921634</v>
      </c>
      <c r="CA32" s="73">
        <v>2</v>
      </c>
      <c r="CB32" s="73">
        <v>1519.3359687877708</v>
      </c>
      <c r="CC32" s="73">
        <v>2</v>
      </c>
      <c r="CD32" s="74">
        <v>46.544850742514384</v>
      </c>
      <c r="CE32" s="74">
        <v>27.7</v>
      </c>
      <c r="CF32" s="75">
        <v>660</v>
      </c>
      <c r="CH32" s="72">
        <f t="shared" si="30"/>
        <v>4515.0431839752973</v>
      </c>
      <c r="CI32" s="73">
        <v>2</v>
      </c>
      <c r="CJ32" s="73">
        <f t="shared" si="31"/>
        <v>1243.0930653718121</v>
      </c>
      <c r="CK32" s="73">
        <v>2</v>
      </c>
      <c r="CL32" s="74">
        <v>46.544850742514384</v>
      </c>
      <c r="CM32" s="74">
        <v>27.7</v>
      </c>
      <c r="CN32" s="75">
        <v>660</v>
      </c>
      <c r="CO32" s="72">
        <f t="shared" si="32"/>
        <v>6772.5647759629474</v>
      </c>
      <c r="CP32" s="73">
        <v>2</v>
      </c>
      <c r="CQ32" s="73">
        <f t="shared" si="33"/>
        <v>1367.4023719089937</v>
      </c>
      <c r="CR32" s="73">
        <v>2</v>
      </c>
      <c r="CS32" s="74">
        <v>46.544850742514384</v>
      </c>
      <c r="CT32" s="74">
        <v>27.7</v>
      </c>
      <c r="CU32" s="75">
        <v>660</v>
      </c>
      <c r="CW32" s="49">
        <f t="shared" si="3"/>
        <v>1</v>
      </c>
      <c r="CX32" s="49">
        <f t="shared" si="17"/>
        <v>559.02662033457375</v>
      </c>
      <c r="CY32" s="263">
        <f t="shared" si="18"/>
        <v>0</v>
      </c>
      <c r="CZ32" s="49">
        <f t="shared" si="19"/>
        <v>1</v>
      </c>
    </row>
    <row r="33" spans="2:104" ht="15" x14ac:dyDescent="0.25">
      <c r="B33" s="33">
        <v>1</v>
      </c>
      <c r="C33" s="3">
        <v>10</v>
      </c>
      <c r="D33" s="27">
        <f>(X33*($T$11^$Q33))*Watts*CF_Altit</f>
        <v>3967.1491228664822</v>
      </c>
      <c r="E33" s="3">
        <f>ROUND(((D33/Watts)/(($S$9-$S$10)*1.163))*$E$14,IF($X$4=1,0,IF($X$4=2,2)))</f>
        <v>341</v>
      </c>
      <c r="F33" s="30">
        <f>($Y$30*(E33/$E$14)^$Y$32)*$F$14</f>
        <v>2.0223100015679076</v>
      </c>
      <c r="G33" s="4">
        <f>(Z33*($W$11^R33))*Watts*CF_Altit</f>
        <v>676.58350985717811</v>
      </c>
      <c r="H33" s="4">
        <f>((G33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33+0.001448)*(Tl_cool-Tavg_cold)+(0.016908*$C33-0.033574))*1.039&gt;1,1,1/(1+((2258*((0.622/(($Z$11/(1*611*EXP(17.27*(Tavg_cold/(Tavg_cold+237.3))))))-1)*1000-(0.622/(($Z$11/(RH*611*EXP(17.27*(Tl_cool/(Tl_cool+237.3))))))-1)*1000))/(1005*(Tavg_cold-Tl_cool))))*1.039+((-0.000729*$C33+0.001448)*(Tl_cool-Tavg_cold)+(0.016908*$C33-0.033574))*1.039))))*Watts</f>
        <v>676.58350985717811</v>
      </c>
      <c r="I33" s="3">
        <f>ROUND(((H33/Watts)/((Tr_cool-Tv_cool)*1.163))*$I$14,IF($X$4=1,0,IF($X$4=2,2)))</f>
        <v>291</v>
      </c>
      <c r="J33" s="5">
        <f>($AA$30*(I33/$I$14)^$AA$32)*$J$14</f>
        <v>1.5022166024091557</v>
      </c>
      <c r="K33" s="59">
        <f>L33-8</f>
        <v>40</v>
      </c>
      <c r="L33" s="53">
        <f t="shared" si="27"/>
        <v>48</v>
      </c>
      <c r="M33" s="46">
        <f t="shared" si="27"/>
        <v>12.5</v>
      </c>
      <c r="N33" s="64">
        <f>AD33*Cubics</f>
        <v>273</v>
      </c>
      <c r="O33" s="253">
        <f>((($D33/Watts)/(((p_atm*0.028964)/(8.31447*(20+273.15)))*(($N33/3600)/Cubics)*(1005+1870*((0.622)/(((p_atm)/($E$12*Pvs_Heat_in))-1)))))+Tl_heat)*Celc1+Celc2</f>
        <v>62.655168979880763</v>
      </c>
      <c r="P33" s="254">
        <f>(Tl_cool-(($G33/Watts)/(1006*$N33*kgss)))*Celc1+Celc2</f>
        <v>19.633913834464146</v>
      </c>
      <c r="Q33" s="220">
        <v>1</v>
      </c>
      <c r="R33" s="113">
        <f t="shared" si="4"/>
        <v>0.77110000000000001</v>
      </c>
      <c r="S33" s="113">
        <v>0.91</v>
      </c>
      <c r="T33" s="113">
        <v>0.98</v>
      </c>
      <c r="U33" s="113">
        <v>0.77110000000000001</v>
      </c>
      <c r="V33" s="144">
        <v>0.91110000000000002</v>
      </c>
      <c r="W33" s="171">
        <f>(H33-G33)/H33</f>
        <v>0</v>
      </c>
      <c r="X33" s="127">
        <f t="shared" si="5"/>
        <v>3967.1491228664822</v>
      </c>
      <c r="Y33" s="128">
        <f t="shared" si="6"/>
        <v>0</v>
      </c>
      <c r="Z33" s="129">
        <f t="shared" si="7"/>
        <v>676.58350985717811</v>
      </c>
      <c r="AA33" s="128">
        <f t="shared" si="8"/>
        <v>0</v>
      </c>
      <c r="AB33" s="130">
        <f t="shared" si="9"/>
        <v>48</v>
      </c>
      <c r="AC33" s="130">
        <f t="shared" si="10"/>
        <v>12.5</v>
      </c>
      <c r="AD33" s="131">
        <f t="shared" si="11"/>
        <v>273</v>
      </c>
      <c r="AE33" s="127">
        <v>3479</v>
      </c>
      <c r="AF33" s="128"/>
      <c r="AG33" s="129">
        <v>598</v>
      </c>
      <c r="AH33" s="128"/>
      <c r="AI33" s="130">
        <v>47</v>
      </c>
      <c r="AJ33" s="130">
        <v>10.1</v>
      </c>
      <c r="AK33" s="131">
        <v>239</v>
      </c>
      <c r="AL33" s="127">
        <f>AE33</f>
        <v>3479</v>
      </c>
      <c r="AM33" s="128"/>
      <c r="AN33" s="129">
        <v>598</v>
      </c>
      <c r="AO33" s="128"/>
      <c r="AP33" s="130">
        <f t="shared" si="28"/>
        <v>47</v>
      </c>
      <c r="AQ33" s="130">
        <f t="shared" si="28"/>
        <v>10.1</v>
      </c>
      <c r="AR33" s="131">
        <f t="shared" si="28"/>
        <v>239</v>
      </c>
      <c r="AS33" s="124"/>
      <c r="AT33" s="1">
        <f>(AG33*((((Tv_cool-Tr_cool)/LN((Tv_cool-Tl_cool)/(Tr_cool-Tl_cool)))/((16-18)/LN((16-27)/(18-27))))^S33))*$G$14</f>
        <v>0.19999777777777752</v>
      </c>
      <c r="AU33" s="1">
        <f>((AT33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33+0.00625)*(Tl_cool-(Tv_cool+Tr_cool)/2)-(-0.000625*$C33+0.00625)*10))))*$H$14</f>
        <v>598</v>
      </c>
      <c r="AV33" s="73"/>
      <c r="AW33" s="186">
        <v>3394</v>
      </c>
      <c r="AX33" s="187"/>
      <c r="AY33" s="188">
        <v>645</v>
      </c>
      <c r="AZ33" s="187"/>
      <c r="BA33" s="189">
        <v>49.6</v>
      </c>
      <c r="BB33" s="189">
        <v>17.5</v>
      </c>
      <c r="BC33" s="190">
        <v>349</v>
      </c>
      <c r="BD33" s="76">
        <v>2623.8121499999993</v>
      </c>
      <c r="BE33" s="77"/>
      <c r="BF33" s="78">
        <v>666.24714500536993</v>
      </c>
      <c r="BG33" s="77"/>
      <c r="BH33" s="79">
        <v>48</v>
      </c>
      <c r="BI33" s="79">
        <v>12.5</v>
      </c>
      <c r="BJ33" s="80">
        <v>273</v>
      </c>
      <c r="BK33" s="76">
        <v>3967.1491228664822</v>
      </c>
      <c r="BL33" s="77"/>
      <c r="BM33" s="78">
        <v>676.58350985717811</v>
      </c>
      <c r="BN33" s="77"/>
      <c r="BO33" s="79">
        <f t="shared" si="29"/>
        <v>48</v>
      </c>
      <c r="BP33" s="79">
        <f t="shared" si="29"/>
        <v>12.5</v>
      </c>
      <c r="BQ33" s="80">
        <f t="shared" si="29"/>
        <v>273</v>
      </c>
      <c r="BR33" s="73"/>
      <c r="BS33" s="76">
        <v>5810.4521698584822</v>
      </c>
      <c r="BT33" s="77"/>
      <c r="BU33" s="78">
        <v>1713.5688397870406</v>
      </c>
      <c r="BV33" s="77"/>
      <c r="BW33" s="79">
        <v>51.540571811172136</v>
      </c>
      <c r="BX33" s="79">
        <v>38.9</v>
      </c>
      <c r="BY33" s="80">
        <v>752</v>
      </c>
      <c r="BZ33" s="76">
        <v>8715.6782547877228</v>
      </c>
      <c r="CA33" s="77"/>
      <c r="CB33" s="78">
        <v>1884.925723765745</v>
      </c>
      <c r="CC33" s="77"/>
      <c r="CD33" s="79">
        <v>51.540571811172136</v>
      </c>
      <c r="CE33" s="79">
        <v>38.9</v>
      </c>
      <c r="CF33" s="80">
        <v>752</v>
      </c>
      <c r="CH33" s="76">
        <f t="shared" si="30"/>
        <v>5229.4069528726341</v>
      </c>
      <c r="CI33" s="77"/>
      <c r="CJ33" s="78">
        <f t="shared" si="31"/>
        <v>1542.2119558083366</v>
      </c>
      <c r="CK33" s="77"/>
      <c r="CL33" s="79">
        <v>51.540571811172136</v>
      </c>
      <c r="CM33" s="79">
        <v>38.9</v>
      </c>
      <c r="CN33" s="80">
        <v>752</v>
      </c>
      <c r="CO33" s="76">
        <f t="shared" si="32"/>
        <v>7844.1104293089511</v>
      </c>
      <c r="CP33" s="77"/>
      <c r="CQ33" s="78">
        <f t="shared" si="33"/>
        <v>1696.4331513891705</v>
      </c>
      <c r="CR33" s="77"/>
      <c r="CS33" s="79">
        <v>51.540571811172136</v>
      </c>
      <c r="CT33" s="79">
        <v>38.9</v>
      </c>
      <c r="CU33" s="80">
        <v>752</v>
      </c>
      <c r="CW33" s="49">
        <f t="shared" si="3"/>
        <v>1</v>
      </c>
      <c r="CX33" s="49">
        <f t="shared" si="17"/>
        <v>676.58350985717811</v>
      </c>
      <c r="CY33" s="263">
        <f t="shared" si="18"/>
        <v>0</v>
      </c>
      <c r="CZ33" s="49">
        <f t="shared" si="19"/>
        <v>1</v>
      </c>
    </row>
    <row r="34" spans="2:104" ht="15" x14ac:dyDescent="0.25">
      <c r="B34" s="326" t="str">
        <f>IF($S$7=1,NL!A33,IF(cal!$S$7=2,EN!A33,IF(cal!$S$7=3,DE!A33,IF(cal!$S$7=4,FR!A33,IF(cal!$S$7=5,NR!A33,IF(cal!$S$7=6,SP!A33,IF(cal!$S$7=7,SW!A33,IF(cal!$S$7=8,TS!A33,IF(cal!$S$7=9,ExtraTaal1!A33,IF(cal!$S$7=10,ExtraTaal2!A33,IF(cal!$S$7=11,ExtraTaal3!A33,)))))))))))</f>
        <v>Clima Canal height 13 cm width 32 cm length 140 cm (Type 4)</v>
      </c>
      <c r="C34" s="327">
        <f>IF($S$7=1,NL!B33,IF(cal!$S$7=2,EN!B33,IF(cal!$S$7=3,DE!B33,IF(cal!$S$7=4,FR!B33,IF(cal!$S$7=5,NR!B33,IF(cal!$S$7=6,SP!B33,IF(cal!$S$7=7,SW!B33,IF(cal!$S$7=8,TS!B33,IF(cal!$S$7=9,ExtraTaal1!B33,IF(cal!$S$7=10,ExtraTaal2!B33,IF(cal!$S$7=11,ExtraTaal3!B33,)))))))))))</f>
        <v>0</v>
      </c>
      <c r="D34" s="327">
        <f>IF($S$7=1,NL!C33,IF(cal!$S$7=2,EN!C33,IF(cal!$S$7=3,DE!C33,IF(cal!$S$7=4,FR!C33,IF(cal!$S$7=5,NR!C33,IF(cal!$S$7=6,SP!C33,IF(cal!$S$7=7,SW!C33,IF(cal!$S$7=8,TS!C33,IF(cal!$S$7=9,ExtraTaal1!C33,IF(cal!$S$7=10,ExtraTaal2!C33,IF(cal!$S$7=11,ExtraTaal3!C33,)))))))))))</f>
        <v>0</v>
      </c>
      <c r="E34" s="327">
        <f>IF($S$7=1,NL!D33,IF(cal!$S$7=2,EN!D33,IF(cal!$S$7=3,DE!D33,IF(cal!$S$7=4,FR!D33,IF(cal!$S$7=5,NR!D33,IF(cal!$S$7=6,SP!D33,IF(cal!$S$7=7,SW!D33,IF(cal!$S$7=8,TS!D33,IF(cal!$S$7=9,ExtraTaal1!D33,IF(cal!$S$7=10,ExtraTaal2!D33,IF(cal!$S$7=11,ExtraTaal3!D33,)))))))))))</f>
        <v>0</v>
      </c>
      <c r="F34" s="327">
        <f>IF($S$7=1,NL!E33,IF(cal!$S$7=2,EN!E33,IF(cal!$S$7=3,DE!E33,IF(cal!$S$7=4,FR!E33,IF(cal!$S$7=5,NR!E33,IF(cal!$S$7=6,SP!E33,IF(cal!$S$7=7,SW!E33,IF(cal!$S$7=8,TS!E33,IF(cal!$S$7=9,ExtraTaal1!E33,IF(cal!$S$7=10,ExtraTaal2!E33,IF(cal!$S$7=11,ExtraTaal3!E33,)))))))))))</f>
        <v>0</v>
      </c>
      <c r="G34" s="327">
        <f>IF($S$7=1,NL!F33,IF(cal!$S$7=2,EN!F33,IF(cal!$S$7=3,DE!F33,IF(cal!$S$7=4,FR!F33,IF(cal!$S$7=5,NR!F33,IF(cal!$S$7=6,SP!F33,IF(cal!$S$7=7,SW!F33,IF(cal!$S$7=8,TS!F33,IF(cal!$S$7=9,ExtraTaal1!F33,IF(cal!$S$7=10,ExtraTaal2!F33,IF(cal!$S$7=11,ExtraTaal3!F33,)))))))))))</f>
        <v>0</v>
      </c>
      <c r="H34" s="327">
        <f>IF($S$7=1,NL!G33,IF(cal!$S$7=2,EN!G33,IF(cal!$S$7=3,DE!G33,IF(cal!$S$7=4,FR!G33,IF(cal!$S$7=5,NR!G33,IF(cal!$S$7=6,SP!G33,IF(cal!$S$7=7,SW!G33,IF(cal!$S$7=8,TS!G33,IF(cal!$S$7=9,ExtraTaal1!G33,IF(cal!$S$7=10,ExtraTaal2!G33,IF(cal!$S$7=11,ExtraTaal3!G33,)))))))))))</f>
        <v>0</v>
      </c>
      <c r="I34" s="327">
        <f>IF($S$7=1,NL!H33,IF(cal!$S$7=2,EN!H33,IF(cal!$S$7=3,DE!H33,IF(cal!$S$7=4,FR!H33,IF(cal!$S$7=5,NR!H33,IF(cal!$S$7=6,SP!H33,IF(cal!$S$7=7,SW!H33,IF(cal!$S$7=8,TS!H33,IF(cal!$S$7=9,ExtraTaal1!H33,IF(cal!$S$7=10,ExtraTaal2!H33,IF(cal!$S$7=11,ExtraTaal3!H33,)))))))))))</f>
        <v>0</v>
      </c>
      <c r="J34" s="327">
        <f>IF($S$7=1,NL!I33,IF(cal!$S$7=2,EN!I33,IF(cal!$S$7=3,DE!I33,IF(cal!$S$7=4,FR!I33,IF(cal!$S$7=5,NR!I33,IF(cal!$S$7=6,SP!I33,IF(cal!$S$7=7,SW!I33,IF(cal!$S$7=8,TS!I33,IF(cal!$S$7=9,ExtraTaal1!I33,IF(cal!$S$7=10,ExtraTaal2!I33,IF(cal!$S$7=11,ExtraTaal3!I33,)))))))))))</f>
        <v>0</v>
      </c>
      <c r="K34" s="327">
        <f>IF($S$7=1,NL!J33,IF(cal!$S$7=2,EN!J33,IF(cal!$S$7=3,DE!J33,IF(cal!$S$7=4,FR!J33,IF(cal!$S$7=5,NR!J33,IF(cal!$S$7=6,SP!J33,IF(cal!$S$7=7,SW!J33,IF(cal!$S$7=8,TS!J33,IF(cal!$S$7=9,ExtraTaal1!J33,IF(cal!$S$7=10,ExtraTaal2!J33,IF(cal!$S$7=11,ExtraTaal3!J33,)))))))))))</f>
        <v>0</v>
      </c>
      <c r="L34" s="327">
        <f>IF($S$7=1,NL!K33,IF(cal!$S$7=2,EN!K33,IF(cal!$S$7=3,DE!K33,IF(cal!$S$7=4,FR!K33,IF(cal!$S$7=5,NR!K33,IF(cal!$S$7=6,SP!K33,IF(cal!$S$7=7,SW!K33,IF(cal!$S$7=8,TS!K33,IF(cal!$S$7=9,ExtraTaal1!K33,IF(cal!$S$7=10,ExtraTaal2!K33,IF(cal!$S$7=11,ExtraTaal3!K33,)))))))))))</f>
        <v>0</v>
      </c>
      <c r="M34" s="327">
        <f>IF($S$7=1,NL!L33,IF(cal!$S$7=2,EN!L33,IF(cal!$S$7=3,DE!L33,IF(cal!$S$7=4,FR!L33,IF(cal!$S$7=5,NR!L33,IF(cal!$S$7=6,SP!L33,IF(cal!$S$7=7,SW!L33,IF(cal!$S$7=8,TS!L33,IF(cal!$S$7=9,ExtraTaal1!L33,IF(cal!$S$7=10,ExtraTaal2!L33,IF(cal!$S$7=11,ExtraTaal3!L33,)))))))))))</f>
        <v>0</v>
      </c>
      <c r="N34" s="327">
        <f>IF($S$7=1,NL!M33,IF(cal!$S$7=2,EN!M33,IF(cal!$S$7=3,DE!M33,IF(cal!$S$7=4,FR!M33,IF(cal!$S$7=5,NR!M33,IF(cal!$S$7=6,SP!M33,IF(cal!$S$7=7,SW!M33,IF(cal!$S$7=8,TS!M33,IF(cal!$S$7=9,ExtraTaal1!M33,IF(cal!$S$7=10,ExtraTaal2!M33,IF(cal!$S$7=11,ExtraTaal3!M33,)))))))))))</f>
        <v>0</v>
      </c>
      <c r="O34" s="327">
        <f>IF($S$7=1,NL!N33,IF(cal!$S$7=2,EN!N33,IF(cal!$S$7=3,DE!N33,IF(cal!$S$7=4,FR!N33,IF(cal!$S$7=5,NR!N33,IF(cal!$S$7=6,SP!N33,IF(cal!$S$7=7,SW!N33,IF(cal!$S$7=8,TS!N33,IF(cal!$S$7=9,ExtraTaal1!N33,IF(cal!$S$7=10,ExtraTaal2!N33,IF(cal!$S$7=11,ExtraTaal3!N33,)))))))))))</f>
        <v>0</v>
      </c>
      <c r="P34" s="328">
        <f>IF($S$7=1,NL!O33,IF(cal!$S$7=2,EN!O33,IF(cal!$S$7=3,DE!O33,IF(cal!$S$7=4,FR!O33,IF(cal!$S$7=5,NR!O33,IF(cal!$S$7=6,SP!O33,IF(cal!$S$7=7,SW!O33,IF(cal!$S$7=8,TS!O33,IF(cal!$S$7=9,ExtraTaal1!O33,IF(cal!$S$7=10,ExtraTaal2!O33,IF(cal!$S$7=11,ExtraTaal3!O33,)))))))))))</f>
        <v>0</v>
      </c>
      <c r="Q34" s="207" t="s">
        <v>11</v>
      </c>
      <c r="R34" s="113" t="str">
        <f t="shared" si="4"/>
        <v>n-value</v>
      </c>
      <c r="S34" s="114" t="s">
        <v>11</v>
      </c>
      <c r="T34" s="113" t="s">
        <v>11</v>
      </c>
      <c r="U34" s="52" t="s">
        <v>11</v>
      </c>
      <c r="V34" s="52" t="s">
        <v>11</v>
      </c>
      <c r="W34" s="171"/>
      <c r="X34" s="132" t="str">
        <f t="shared" si="5"/>
        <v>H</v>
      </c>
      <c r="Y34" s="133">
        <f t="shared" si="6"/>
        <v>13</v>
      </c>
      <c r="Z34" s="132" t="str">
        <f t="shared" si="7"/>
        <v>B</v>
      </c>
      <c r="AA34" s="133">
        <f t="shared" si="8"/>
        <v>32</v>
      </c>
      <c r="AB34" s="132" t="str">
        <f t="shared" si="9"/>
        <v>L</v>
      </c>
      <c r="AC34" s="137">
        <f t="shared" si="10"/>
        <v>120</v>
      </c>
      <c r="AD34" s="135">
        <f t="shared" si="11"/>
        <v>0</v>
      </c>
      <c r="AE34" s="132" t="s">
        <v>61</v>
      </c>
      <c r="AF34" s="133">
        <f>AF28</f>
        <v>8</v>
      </c>
      <c r="AG34" s="132" t="s">
        <v>62</v>
      </c>
      <c r="AH34" s="133">
        <f>AH28</f>
        <v>18</v>
      </c>
      <c r="AI34" s="132" t="s">
        <v>63</v>
      </c>
      <c r="AJ34" s="137">
        <f>144*IF($X$4=1,1,IF($X$4=2,1/2.54))</f>
        <v>144</v>
      </c>
      <c r="AK34" s="135"/>
      <c r="AL34" s="132" t="s">
        <v>61</v>
      </c>
      <c r="AM34" s="133">
        <f>AM28</f>
        <v>10</v>
      </c>
      <c r="AN34" s="132" t="s">
        <v>62</v>
      </c>
      <c r="AO34" s="133">
        <f>AO28</f>
        <v>18</v>
      </c>
      <c r="AP34" s="132" t="s">
        <v>63</v>
      </c>
      <c r="AQ34" s="136">
        <f>AJ34</f>
        <v>144</v>
      </c>
      <c r="AR34" s="135"/>
      <c r="AS34" s="140"/>
      <c r="AT34" s="1"/>
      <c r="AU34" s="1"/>
      <c r="AV34" s="86"/>
      <c r="AW34" s="191" t="s">
        <v>61</v>
      </c>
      <c r="AX34" s="192">
        <f>AX22</f>
        <v>13</v>
      </c>
      <c r="AY34" s="191" t="s">
        <v>62</v>
      </c>
      <c r="AZ34" s="192">
        <f>AZ22</f>
        <v>27</v>
      </c>
      <c r="BA34" s="191" t="s">
        <v>63</v>
      </c>
      <c r="BB34" s="192">
        <f>IF($X$4=1,160.8,160.8/2.54)</f>
        <v>160.80000000000001</v>
      </c>
      <c r="BC34" s="193"/>
      <c r="BD34" s="83" t="s">
        <v>61</v>
      </c>
      <c r="BE34" s="84">
        <f>BE22</f>
        <v>13</v>
      </c>
      <c r="BF34" s="83" t="s">
        <v>62</v>
      </c>
      <c r="BG34" s="84">
        <f>BG22</f>
        <v>32</v>
      </c>
      <c r="BH34" s="83" t="s">
        <v>63</v>
      </c>
      <c r="BI34" s="84">
        <f>IF($X$4=1,120,120/2.54)</f>
        <v>120</v>
      </c>
      <c r="BJ34" s="82"/>
      <c r="BK34" s="83" t="s">
        <v>61</v>
      </c>
      <c r="BL34" s="84">
        <f>BL22</f>
        <v>13</v>
      </c>
      <c r="BM34" s="83" t="s">
        <v>62</v>
      </c>
      <c r="BN34" s="84">
        <f>BN22</f>
        <v>32</v>
      </c>
      <c r="BO34" s="83" t="s">
        <v>63</v>
      </c>
      <c r="BP34" s="84">
        <f>IF($X$4=1,120,120/2.54)</f>
        <v>120</v>
      </c>
      <c r="BQ34" s="82"/>
      <c r="BR34" s="86"/>
      <c r="BS34" s="83" t="s">
        <v>61</v>
      </c>
      <c r="BT34" s="84">
        <f>BT28</f>
        <v>19</v>
      </c>
      <c r="BU34" s="83" t="s">
        <v>62</v>
      </c>
      <c r="BV34" s="84">
        <f>BV28</f>
        <v>34</v>
      </c>
      <c r="BW34" s="83" t="s">
        <v>63</v>
      </c>
      <c r="BX34" s="141">
        <f>200*IF($X$4=1,1,IF($X$4=2,1/2.54))</f>
        <v>200</v>
      </c>
      <c r="BY34" s="82"/>
      <c r="BZ34" s="83" t="s">
        <v>61</v>
      </c>
      <c r="CA34" s="84">
        <f>CA28</f>
        <v>19</v>
      </c>
      <c r="CB34" s="83" t="s">
        <v>62</v>
      </c>
      <c r="CC34" s="84">
        <f>CC28</f>
        <v>34</v>
      </c>
      <c r="CD34" s="83" t="s">
        <v>63</v>
      </c>
      <c r="CE34" s="142">
        <f>BX34</f>
        <v>200</v>
      </c>
      <c r="CF34" s="82"/>
      <c r="CH34" s="83" t="s">
        <v>61</v>
      </c>
      <c r="CI34" s="84">
        <f>CI28</f>
        <v>15</v>
      </c>
      <c r="CJ34" s="83" t="s">
        <v>62</v>
      </c>
      <c r="CK34" s="84">
        <f>CK28</f>
        <v>32</v>
      </c>
      <c r="CL34" s="83" t="s">
        <v>63</v>
      </c>
      <c r="CM34" s="141">
        <f>200*IF($X$4=1,1,IF($X$4=2,1/2.54))</f>
        <v>200</v>
      </c>
      <c r="CN34" s="82"/>
      <c r="CO34" s="83" t="s">
        <v>61</v>
      </c>
      <c r="CP34" s="84">
        <f>CP28</f>
        <v>15</v>
      </c>
      <c r="CQ34" s="83" t="s">
        <v>62</v>
      </c>
      <c r="CR34" s="84">
        <f>CR28</f>
        <v>32</v>
      </c>
      <c r="CS34" s="83" t="s">
        <v>63</v>
      </c>
      <c r="CT34" s="142">
        <f>CM34</f>
        <v>200</v>
      </c>
      <c r="CU34" s="82"/>
      <c r="CW34" s="49">
        <f t="shared" si="3"/>
        <v>1</v>
      </c>
      <c r="CX34" s="49">
        <f t="shared" si="17"/>
        <v>0</v>
      </c>
      <c r="CY34" s="263">
        <f t="shared" si="18"/>
        <v>0</v>
      </c>
      <c r="CZ34" s="49">
        <f t="shared" si="19"/>
        <v>1</v>
      </c>
    </row>
    <row r="35" spans="2:104" ht="15" x14ac:dyDescent="0.25">
      <c r="B35" s="33">
        <v>0.2</v>
      </c>
      <c r="C35" s="3">
        <v>2</v>
      </c>
      <c r="D35" s="27">
        <f>(X35*($T$11^$Q35))*Watts*CF_Altit</f>
        <v>966.35281858659005</v>
      </c>
      <c r="E35" s="3">
        <f>ROUND(((D35/Watts)/(($S$9-$S$10)*1.163))*$E$14,IF($X$4=1,0,IF($X$4=2,2)))</f>
        <v>83</v>
      </c>
      <c r="F35" s="30">
        <f>($Y$36*(E35/$E$14)^$Y$38)*$F$14</f>
        <v>0.16127172062869963</v>
      </c>
      <c r="G35" s="4">
        <f>(Z35*($W$11^R35))*Watts*CF_Altit</f>
        <v>207.94655204324866</v>
      </c>
      <c r="H35" s="4">
        <f>((G35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35+0.001448)*(Tl_cool-Tavg_cold)+(0.016908*$C35-0.033574))*1.039&gt;1,1,1/(1+((2258*((0.622/(($Z$11/(1*611*EXP(17.27*(Tavg_cold/(Tavg_cold+237.3))))))-1)*1000-(0.622/(($Z$11/(RH*611*EXP(17.27*(Tl_cool/(Tl_cool+237.3))))))-1)*1000))/(1005*(Tavg_cold-Tl_cool))))*1.039+((-0.000729*$C35+0.001448)*(Tl_cool-Tavg_cold)+(0.016908*$C35-0.033574))*1.039))))*Watts</f>
        <v>207.94655204324866</v>
      </c>
      <c r="I35" s="3">
        <f>ROUND(((H35/Watts)/((Tr_cool-Tv_cool)*1.163))*$I$14,IF($X$4=1,0,IF($X$4=2,2)))</f>
        <v>89</v>
      </c>
      <c r="J35" s="5">
        <f>($AA$36*(I35/$I$14)^$AA$38)*$J$14</f>
        <v>0.18365358149059038</v>
      </c>
      <c r="K35" s="59">
        <f>L35-8</f>
        <v>21.5</v>
      </c>
      <c r="L35" s="53">
        <f t="shared" ref="L35:M39" si="34">AB35</f>
        <v>29.5</v>
      </c>
      <c r="M35" s="46">
        <f t="shared" si="34"/>
        <v>1.7</v>
      </c>
      <c r="N35" s="64">
        <f>AD35*Cubics</f>
        <v>79</v>
      </c>
      <c r="O35" s="251">
        <f>((($D35/Watts)/(((p_atm*0.028964)/(8.31447*(20+273.15)))*(($N35/3600)/Cubics)*(1005+1870*((0.622)/(((p_atm)/($E$12*Pvs_Heat_in))-1)))))+Tl_heat)*Celc1+Celc2</f>
        <v>55.905784050632334</v>
      </c>
      <c r="P35" s="252">
        <f>(Tl_cool-(($G35/Watts)/(1006*$N35*kgss)))*Celc1+Celc2</f>
        <v>19.17647156135795</v>
      </c>
      <c r="Q35" s="220">
        <v>1</v>
      </c>
      <c r="R35" s="113">
        <f t="shared" si="4"/>
        <v>0.78069999999999995</v>
      </c>
      <c r="S35" s="113">
        <v>0.6</v>
      </c>
      <c r="T35" s="113">
        <v>1.1599999999999999</v>
      </c>
      <c r="U35" s="113">
        <v>0.78069999999999995</v>
      </c>
      <c r="V35" s="144">
        <v>0.87660000000000005</v>
      </c>
      <c r="W35" s="171">
        <f>(H35-G35)/H35</f>
        <v>0</v>
      </c>
      <c r="X35" s="118">
        <f t="shared" si="5"/>
        <v>966.35281858659005</v>
      </c>
      <c r="Y35" s="119" t="str">
        <f t="shared" si="6"/>
        <v>a</v>
      </c>
      <c r="Z35" s="120">
        <f t="shared" si="7"/>
        <v>207.94655204324866</v>
      </c>
      <c r="AA35" s="119" t="str">
        <f t="shared" si="8"/>
        <v>a</v>
      </c>
      <c r="AB35" s="121">
        <f t="shared" si="9"/>
        <v>29.5</v>
      </c>
      <c r="AC35" s="121">
        <f t="shared" si="10"/>
        <v>1.7</v>
      </c>
      <c r="AD35" s="122">
        <f t="shared" si="11"/>
        <v>79</v>
      </c>
      <c r="AE35" s="118">
        <v>1219</v>
      </c>
      <c r="AF35" s="119" t="s">
        <v>49</v>
      </c>
      <c r="AG35" s="120">
        <v>132</v>
      </c>
      <c r="AH35" s="119" t="s">
        <v>49</v>
      </c>
      <c r="AI35" s="121">
        <v>26</v>
      </c>
      <c r="AJ35" s="121">
        <v>1.2</v>
      </c>
      <c r="AK35" s="122">
        <v>84</v>
      </c>
      <c r="AL35" s="118">
        <f>AE35</f>
        <v>1219</v>
      </c>
      <c r="AM35" s="119" t="s">
        <v>49</v>
      </c>
      <c r="AN35" s="120">
        <v>132</v>
      </c>
      <c r="AO35" s="119" t="s">
        <v>49</v>
      </c>
      <c r="AP35" s="121">
        <f t="shared" ref="AP35:AR39" si="35">AI35</f>
        <v>26</v>
      </c>
      <c r="AQ35" s="121">
        <f t="shared" si="35"/>
        <v>1.2</v>
      </c>
      <c r="AR35" s="122">
        <f t="shared" si="35"/>
        <v>84</v>
      </c>
      <c r="AS35" s="124"/>
      <c r="AT35" s="1">
        <f>(AG35*((((Tv_cool-Tr_cool)/LN((Tv_cool-Tl_cool)/(Tr_cool-Tl_cool)))/((16-18)/LN((16-27)/(18-27))))^S35))*$G$14</f>
        <v>4.4146666666666612E-2</v>
      </c>
      <c r="AU35" s="1">
        <f>((AT35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35+0.00625)*(Tl_cool-(Tv_cool+Tr_cool)/2)-(-0.000625*$C35+0.00625)*10))))*$H$14</f>
        <v>132</v>
      </c>
      <c r="AV35" s="73"/>
      <c r="AW35" s="177">
        <v>1367</v>
      </c>
      <c r="AX35" s="178" t="s">
        <v>49</v>
      </c>
      <c r="AY35" s="179">
        <v>156</v>
      </c>
      <c r="AZ35" s="178" t="s">
        <v>49</v>
      </c>
      <c r="BA35" s="180">
        <v>30.1</v>
      </c>
      <c r="BB35" s="180">
        <v>2</v>
      </c>
      <c r="BC35" s="181">
        <v>104</v>
      </c>
      <c r="BD35" s="67">
        <v>829.01222999999993</v>
      </c>
      <c r="BE35" s="68" t="s">
        <v>49</v>
      </c>
      <c r="BF35" s="69">
        <v>199.65770316445665</v>
      </c>
      <c r="BG35" s="68" t="s">
        <v>49</v>
      </c>
      <c r="BH35" s="70">
        <v>29.5</v>
      </c>
      <c r="BI35" s="70">
        <v>1.7</v>
      </c>
      <c r="BJ35" s="71">
        <v>79</v>
      </c>
      <c r="BK35" s="67">
        <v>966.35281858659005</v>
      </c>
      <c r="BL35" s="68" t="s">
        <v>49</v>
      </c>
      <c r="BM35" s="69">
        <v>207.94655204324866</v>
      </c>
      <c r="BN35" s="68" t="s">
        <v>49</v>
      </c>
      <c r="BO35" s="70">
        <f t="shared" ref="BO35:BQ39" si="36">BH35</f>
        <v>29.5</v>
      </c>
      <c r="BP35" s="70">
        <f t="shared" si="36"/>
        <v>1.7</v>
      </c>
      <c r="BQ35" s="71">
        <f t="shared" si="36"/>
        <v>79</v>
      </c>
      <c r="BR35" s="73"/>
      <c r="BS35" s="67">
        <v>2996.8320061869708</v>
      </c>
      <c r="BT35" s="68" t="s">
        <v>49</v>
      </c>
      <c r="BU35" s="69">
        <v>538.34375155382486</v>
      </c>
      <c r="BV35" s="68" t="s">
        <v>49</v>
      </c>
      <c r="BW35" s="70">
        <v>30.520451931056087</v>
      </c>
      <c r="BX35" s="70">
        <v>6.1</v>
      </c>
      <c r="BY35" s="71">
        <v>276</v>
      </c>
      <c r="BZ35" s="67">
        <v>4495.2480092804572</v>
      </c>
      <c r="CA35" s="68" t="s">
        <v>49</v>
      </c>
      <c r="CB35" s="69">
        <v>592.1781267092075</v>
      </c>
      <c r="CC35" s="68" t="s">
        <v>49</v>
      </c>
      <c r="CD35" s="70">
        <v>30.520451931056087</v>
      </c>
      <c r="CE35" s="70">
        <v>6.1</v>
      </c>
      <c r="CF35" s="71">
        <v>276</v>
      </c>
      <c r="CH35" s="67">
        <f>BS35*0.9</f>
        <v>2697.1488055682739</v>
      </c>
      <c r="CI35" s="68" t="s">
        <v>49</v>
      </c>
      <c r="CJ35" s="69">
        <f>BU35*0.9</f>
        <v>484.50937639844238</v>
      </c>
      <c r="CK35" s="68" t="s">
        <v>49</v>
      </c>
      <c r="CL35" s="70">
        <v>30.520451931056087</v>
      </c>
      <c r="CM35" s="70">
        <v>6.1</v>
      </c>
      <c r="CN35" s="71">
        <v>276</v>
      </c>
      <c r="CO35" s="67">
        <f>BZ35*0.9</f>
        <v>4045.7232083524113</v>
      </c>
      <c r="CP35" s="68" t="s">
        <v>49</v>
      </c>
      <c r="CQ35" s="69">
        <f>CB35*0.9</f>
        <v>532.96031403828681</v>
      </c>
      <c r="CR35" s="68" t="s">
        <v>49</v>
      </c>
      <c r="CS35" s="70">
        <v>30.520451931056087</v>
      </c>
      <c r="CT35" s="70">
        <v>6.1</v>
      </c>
      <c r="CU35" s="71">
        <v>276</v>
      </c>
      <c r="CW35" s="49">
        <f t="shared" si="3"/>
        <v>1</v>
      </c>
      <c r="CX35" s="49">
        <f t="shared" si="17"/>
        <v>207.94655204324866</v>
      </c>
      <c r="CY35" s="263">
        <f t="shared" si="18"/>
        <v>0</v>
      </c>
      <c r="CZ35" s="49">
        <f t="shared" si="19"/>
        <v>1</v>
      </c>
    </row>
    <row r="36" spans="2:104" ht="15" x14ac:dyDescent="0.25">
      <c r="B36" s="33">
        <v>0.4</v>
      </c>
      <c r="C36" s="3">
        <v>4</v>
      </c>
      <c r="D36" s="27">
        <f>(X36*($T$11^$Q36))*Watts*CF_Altit</f>
        <v>2137.2546444146683</v>
      </c>
      <c r="E36" s="3">
        <f>ROUND(((D36/Watts)/(($S$9-$S$10)*1.163))*$E$14,IF($X$4=1,0,IF($X$4=2,2)))</f>
        <v>184</v>
      </c>
      <c r="F36" s="30">
        <f>($Y$36*(E36/$E$14)^$Y$38)*$F$14</f>
        <v>0.71011737641248318</v>
      </c>
      <c r="G36" s="4">
        <f>(Z36*($W$11^R36))*Watts*CF_Altit</f>
        <v>377.57876787215622</v>
      </c>
      <c r="H36" s="4">
        <f>((G36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36+0.001448)*(Tl_cool-Tavg_cold)+(0.016908*$C36-0.033574))*1.039&gt;1,1,1/(1+((2258*((0.622/(($Z$11/(1*611*EXP(17.27*(Tavg_cold/(Tavg_cold+237.3))))))-1)*1000-(0.622/(($Z$11/(RH*611*EXP(17.27*(Tl_cool/(Tl_cool+237.3))))))-1)*1000))/(1005*(Tavg_cold-Tl_cool))))*1.039+((-0.000729*$C36+0.001448)*(Tl_cool-Tavg_cold)+(0.016908*$C36-0.033574))*1.039))))*Watts</f>
        <v>377.57876787215622</v>
      </c>
      <c r="I36" s="3">
        <f>ROUND(((H36/Watts)/((Tr_cool-Tv_cool)*1.163))*$I$14,IF($X$4=1,0,IF($X$4=2,2)))</f>
        <v>162</v>
      </c>
      <c r="J36" s="5">
        <f>($AA$36*(I36/$I$14)^$AA$38)*$J$14</f>
        <v>0.56021609765679192</v>
      </c>
      <c r="K36" s="59">
        <f>L36-8</f>
        <v>26</v>
      </c>
      <c r="L36" s="53">
        <f t="shared" si="34"/>
        <v>34</v>
      </c>
      <c r="M36" s="46">
        <f t="shared" si="34"/>
        <v>3.1</v>
      </c>
      <c r="N36" s="64">
        <f>AD36*Cubics</f>
        <v>129</v>
      </c>
      <c r="O36" s="253">
        <f>((($D36/Watts)/(((p_atm*0.028964)/(8.31447*(20+273.15)))*(($N36/3600)/Cubics)*(1005+1870*((0.622)/(((p_atm)/($E$12*Pvs_Heat_in))-1)))))+Tl_heat)*Celc1+Celc2</f>
        <v>68.63202429722034</v>
      </c>
      <c r="P36" s="254">
        <f>(Tl_cool-(($G36/Watts)/(1006*$N36*kgss)))*Celc1+Celc2</f>
        <v>18.300468043807996</v>
      </c>
      <c r="Q36" s="220">
        <v>1</v>
      </c>
      <c r="R36" s="113">
        <f t="shared" si="4"/>
        <v>0.85870000000000002</v>
      </c>
      <c r="S36" s="113">
        <v>0.68</v>
      </c>
      <c r="T36" s="113">
        <v>1.04</v>
      </c>
      <c r="U36" s="113">
        <v>0.85870000000000002</v>
      </c>
      <c r="V36" s="144">
        <v>0.87749999999999995</v>
      </c>
      <c r="W36" s="171">
        <f>(H36-G36)/H36</f>
        <v>0</v>
      </c>
      <c r="X36" s="123">
        <f t="shared" si="5"/>
        <v>2137.2546444146683</v>
      </c>
      <c r="Y36" s="124">
        <f t="shared" si="6"/>
        <v>4.3073444316382473E-5</v>
      </c>
      <c r="Z36" s="124">
        <f t="shared" si="7"/>
        <v>377.57876787215622</v>
      </c>
      <c r="AA36" s="124">
        <f t="shared" si="8"/>
        <v>4.3073444316382473E-5</v>
      </c>
      <c r="AB36" s="125">
        <f t="shared" si="9"/>
        <v>34</v>
      </c>
      <c r="AC36" s="125">
        <f t="shared" si="10"/>
        <v>3.1</v>
      </c>
      <c r="AD36" s="126">
        <f t="shared" si="11"/>
        <v>129</v>
      </c>
      <c r="AE36" s="123">
        <v>2188</v>
      </c>
      <c r="AF36" s="124">
        <v>7.3989525167788965E-4</v>
      </c>
      <c r="AG36" s="124">
        <v>290</v>
      </c>
      <c r="AH36" s="124">
        <f>AF36</f>
        <v>7.3989525167788965E-4</v>
      </c>
      <c r="AI36" s="125">
        <v>30</v>
      </c>
      <c r="AJ36" s="125">
        <v>2.5</v>
      </c>
      <c r="AK36" s="126">
        <v>150</v>
      </c>
      <c r="AL36" s="123">
        <f>AE36</f>
        <v>2188</v>
      </c>
      <c r="AM36" s="124">
        <f>AH36</f>
        <v>7.3989525167788965E-4</v>
      </c>
      <c r="AN36" s="124">
        <v>290</v>
      </c>
      <c r="AO36" s="124">
        <f>AM36</f>
        <v>7.3989525167788965E-4</v>
      </c>
      <c r="AP36" s="125">
        <f t="shared" si="35"/>
        <v>30</v>
      </c>
      <c r="AQ36" s="125">
        <f t="shared" si="35"/>
        <v>2.5</v>
      </c>
      <c r="AR36" s="126">
        <f t="shared" si="35"/>
        <v>150</v>
      </c>
      <c r="AS36" s="124"/>
      <c r="AT36" s="1">
        <f>(AG36*((((Tv_cool-Tr_cool)/LN((Tv_cool-Tl_cool)/(Tr_cool-Tl_cool)))/((16-18)/LN((16-27)/(18-27))))^S36))*$G$14</f>
        <v>9.6988888888888763E-2</v>
      </c>
      <c r="AU36" s="1">
        <f>((AT36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36+0.00625)*(Tl_cool-(Tv_cool+Tr_cool)/2)-(-0.000625*$C36+0.00625)*10))))*$H$14</f>
        <v>290</v>
      </c>
      <c r="AV36" s="73"/>
      <c r="AW36" s="182">
        <v>2229</v>
      </c>
      <c r="AX36" s="183">
        <v>8.7999999999999998E-5</v>
      </c>
      <c r="AY36" s="183">
        <v>317</v>
      </c>
      <c r="AZ36" s="261">
        <v>6.7268900000000001E-6</v>
      </c>
      <c r="BA36" s="184">
        <v>34.9</v>
      </c>
      <c r="BB36" s="184">
        <v>3.6</v>
      </c>
      <c r="BC36" s="185">
        <v>156</v>
      </c>
      <c r="BD36" s="72">
        <v>1653.3317699999996</v>
      </c>
      <c r="BE36" s="73">
        <v>5.6280499999999998E-5</v>
      </c>
      <c r="BF36" s="73">
        <v>362.58532156483511</v>
      </c>
      <c r="BG36" s="73">
        <v>1.5022728308696918E-5</v>
      </c>
      <c r="BH36" s="74">
        <v>34</v>
      </c>
      <c r="BI36" s="74">
        <v>3.1</v>
      </c>
      <c r="BJ36" s="75">
        <v>129</v>
      </c>
      <c r="BK36" s="72">
        <v>2137.2546444146683</v>
      </c>
      <c r="BL36" s="73">
        <v>4.3073444316382473E-5</v>
      </c>
      <c r="BM36" s="73">
        <v>377.57876787215622</v>
      </c>
      <c r="BN36" s="73">
        <f>BL36</f>
        <v>4.3073444316382473E-5</v>
      </c>
      <c r="BO36" s="74">
        <f t="shared" si="36"/>
        <v>34</v>
      </c>
      <c r="BP36" s="74">
        <f t="shared" si="36"/>
        <v>3.1</v>
      </c>
      <c r="BQ36" s="75">
        <f t="shared" si="36"/>
        <v>129</v>
      </c>
      <c r="BR36" s="73"/>
      <c r="BS36" s="72">
        <v>4729.4853857179733</v>
      </c>
      <c r="BT36" s="73">
        <v>4.1508748845793605E-5</v>
      </c>
      <c r="BU36" s="73">
        <v>1051.8005525293829</v>
      </c>
      <c r="BV36" s="73">
        <v>1.2302938988853249E-4</v>
      </c>
      <c r="BW36" s="74">
        <v>34.143327309406075</v>
      </c>
      <c r="BX36" s="74">
        <v>12.1</v>
      </c>
      <c r="BY36" s="75">
        <v>513</v>
      </c>
      <c r="BZ36" s="72">
        <v>7094.2280785769608</v>
      </c>
      <c r="CA36" s="73">
        <v>3.7815116499727958E-5</v>
      </c>
      <c r="CB36" s="73">
        <v>1156.9806077823214</v>
      </c>
      <c r="CC36" s="73">
        <v>3.7815116499727958E-5</v>
      </c>
      <c r="CD36" s="74">
        <v>34.143327309406075</v>
      </c>
      <c r="CE36" s="74">
        <v>12.1</v>
      </c>
      <c r="CF36" s="75">
        <v>513</v>
      </c>
      <c r="CH36" s="72">
        <f t="shared" ref="CH36:CH39" si="37">BS36*0.9</f>
        <v>4256.5368471461761</v>
      </c>
      <c r="CI36" s="73">
        <v>4.1508748845793605E-5</v>
      </c>
      <c r="CJ36" s="73">
        <f t="shared" ref="CJ36:CJ39" si="38">BU36*0.9</f>
        <v>946.62049727644467</v>
      </c>
      <c r="CK36" s="73">
        <v>1.2302938988853249E-4</v>
      </c>
      <c r="CL36" s="74">
        <v>34.143327309406075</v>
      </c>
      <c r="CM36" s="74">
        <v>12.1</v>
      </c>
      <c r="CN36" s="75">
        <v>513</v>
      </c>
      <c r="CO36" s="72">
        <f t="shared" ref="CO36:CO39" si="39">BZ36*0.9</f>
        <v>6384.8052707192646</v>
      </c>
      <c r="CP36" s="73">
        <v>3.7815116499727958E-5</v>
      </c>
      <c r="CQ36" s="73">
        <f t="shared" ref="CQ36:CQ39" si="40">CB36*0.9</f>
        <v>1041.2825470040893</v>
      </c>
      <c r="CR36" s="73">
        <v>3.7815116499727958E-5</v>
      </c>
      <c r="CS36" s="74">
        <v>34.143327309406075</v>
      </c>
      <c r="CT36" s="74">
        <v>12.1</v>
      </c>
      <c r="CU36" s="75">
        <v>513</v>
      </c>
      <c r="CW36" s="49">
        <f t="shared" si="3"/>
        <v>1</v>
      </c>
      <c r="CX36" s="49">
        <f t="shared" si="17"/>
        <v>377.57876787215622</v>
      </c>
      <c r="CY36" s="263">
        <f t="shared" si="18"/>
        <v>0</v>
      </c>
      <c r="CZ36" s="49">
        <f t="shared" si="19"/>
        <v>1</v>
      </c>
    </row>
    <row r="37" spans="2:104" ht="15" x14ac:dyDescent="0.25">
      <c r="B37" s="33">
        <v>0.6</v>
      </c>
      <c r="C37" s="3">
        <v>6</v>
      </c>
      <c r="D37" s="27">
        <f>(X37*($T$11^$Q37))*Watts*CF_Altit</f>
        <v>3186.0571968657455</v>
      </c>
      <c r="E37" s="3">
        <f>ROUND(((D37/Watts)/(($S$9-$S$10)*1.163))*$E$14,IF($X$4=1,0,IF($X$4=2,2)))</f>
        <v>274</v>
      </c>
      <c r="F37" s="30">
        <f>($Y$36*(E37/$E$14)^$Y$38)*$F$14</f>
        <v>1.4905040937234273</v>
      </c>
      <c r="G37" s="4">
        <f>(Z37*($W$11^R37))*Watts*CF_Altit</f>
        <v>539.2383212015659</v>
      </c>
      <c r="H37" s="4">
        <f>((G37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37+0.001448)*(Tl_cool-Tavg_cold)+(0.016908*$C37-0.033574))*1.039&gt;1,1,1/(1+((2258*((0.622/(($Z$11/(1*611*EXP(17.27*(Tavg_cold/(Tavg_cold+237.3))))))-1)*1000-(0.622/(($Z$11/(RH*611*EXP(17.27*(Tl_cool/(Tl_cool+237.3))))))-1)*1000))/(1005*(Tavg_cold-Tl_cool))))*1.039+((-0.000729*$C37+0.001448)*(Tl_cool-Tavg_cold)+(0.016908*$C37-0.033574))*1.039))))*Watts</f>
        <v>539.2383212015659</v>
      </c>
      <c r="I37" s="3">
        <f>ROUND(((H37/Watts)/((Tr_cool-Tv_cool)*1.163))*$I$14,IF($X$4=1,0,IF($X$4=2,2)))</f>
        <v>232</v>
      </c>
      <c r="J37" s="5">
        <f>($AA$36*(I37/$I$14)^$AA$38)*$J$14</f>
        <v>1.0934005896765471</v>
      </c>
      <c r="K37" s="59">
        <f>L37-8</f>
        <v>31</v>
      </c>
      <c r="L37" s="53">
        <f t="shared" si="34"/>
        <v>39</v>
      </c>
      <c r="M37" s="46">
        <f t="shared" si="34"/>
        <v>6</v>
      </c>
      <c r="N37" s="64">
        <f>AD37*Cubics</f>
        <v>218</v>
      </c>
      <c r="O37" s="253">
        <f>((($D37/Watts)/(((p_atm*0.028964)/(8.31447*(20+273.15)))*(($N37/3600)/Cubics)*(1005+1870*((0.622)/(((p_atm)/($E$12*Pvs_Heat_in))-1)))))+Tl_heat)*Celc1+Celc2</f>
        <v>62.899562447408876</v>
      </c>
      <c r="P37" s="254">
        <f>(Tl_cool-(($G37/Watts)/(1006*$N37*kgss)))*Celc1+Celc2</f>
        <v>19.648054356033175</v>
      </c>
      <c r="Q37" s="220">
        <v>1</v>
      </c>
      <c r="R37" s="113">
        <f t="shared" si="4"/>
        <v>0.8831</v>
      </c>
      <c r="S37" s="113">
        <v>0.79</v>
      </c>
      <c r="T37" s="52">
        <v>0.95</v>
      </c>
      <c r="U37" s="113">
        <v>0.8831</v>
      </c>
      <c r="V37" s="144">
        <v>0.88200000000000001</v>
      </c>
      <c r="W37" s="171">
        <f>(H37-G37)/H37</f>
        <v>0</v>
      </c>
      <c r="X37" s="123">
        <f t="shared" si="5"/>
        <v>3186.0571968657455</v>
      </c>
      <c r="Y37" s="119" t="str">
        <f t="shared" si="6"/>
        <v>b</v>
      </c>
      <c r="Z37" s="124">
        <f t="shared" si="7"/>
        <v>539.2383212015659</v>
      </c>
      <c r="AA37" s="119" t="str">
        <f t="shared" si="8"/>
        <v>b</v>
      </c>
      <c r="AB37" s="125">
        <f t="shared" si="9"/>
        <v>39</v>
      </c>
      <c r="AC37" s="125">
        <f t="shared" si="10"/>
        <v>6</v>
      </c>
      <c r="AD37" s="126">
        <f t="shared" si="11"/>
        <v>218</v>
      </c>
      <c r="AE37" s="123">
        <v>3082</v>
      </c>
      <c r="AF37" s="119" t="s">
        <v>50</v>
      </c>
      <c r="AG37" s="124">
        <v>458</v>
      </c>
      <c r="AH37" s="119" t="s">
        <v>50</v>
      </c>
      <c r="AI37" s="125">
        <v>40</v>
      </c>
      <c r="AJ37" s="125">
        <v>5.4</v>
      </c>
      <c r="AK37" s="126">
        <v>196</v>
      </c>
      <c r="AL37" s="123">
        <f>AE37</f>
        <v>3082</v>
      </c>
      <c r="AM37" s="119" t="s">
        <v>50</v>
      </c>
      <c r="AN37" s="124">
        <v>458</v>
      </c>
      <c r="AO37" s="119" t="s">
        <v>50</v>
      </c>
      <c r="AP37" s="125">
        <f t="shared" si="35"/>
        <v>40</v>
      </c>
      <c r="AQ37" s="125">
        <f t="shared" si="35"/>
        <v>5.4</v>
      </c>
      <c r="AR37" s="126">
        <f t="shared" si="35"/>
        <v>196</v>
      </c>
      <c r="AS37" s="124"/>
      <c r="AT37" s="1">
        <f>(AG37*((((Tv_cool-Tr_cool)/LN((Tv_cool-Tl_cool)/(Tr_cool-Tl_cool)))/((16-18)/LN((16-27)/(18-27))))^S37))*$G$14</f>
        <v>0.15317555555555537</v>
      </c>
      <c r="AU37" s="1">
        <f>((AT37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37+0.00625)*(Tl_cool-(Tv_cool+Tr_cool)/2)-(-0.000625*$C37+0.00625)*10))))*$H$14</f>
        <v>458.00000000000006</v>
      </c>
      <c r="AV37" s="73"/>
      <c r="AW37" s="182">
        <v>2967</v>
      </c>
      <c r="AX37" s="178" t="s">
        <v>50</v>
      </c>
      <c r="AY37" s="183">
        <v>480</v>
      </c>
      <c r="AZ37" s="178" t="s">
        <v>50</v>
      </c>
      <c r="BA37" s="184">
        <v>40</v>
      </c>
      <c r="BB37" s="184">
        <v>7.2</v>
      </c>
      <c r="BC37" s="185">
        <v>246</v>
      </c>
      <c r="BD37" s="72">
        <v>2331.9812699999998</v>
      </c>
      <c r="BE37" s="68" t="s">
        <v>50</v>
      </c>
      <c r="BF37" s="73">
        <v>521.25612708716415</v>
      </c>
      <c r="BG37" s="68" t="s">
        <v>50</v>
      </c>
      <c r="BH37" s="74">
        <v>39</v>
      </c>
      <c r="BI37" s="74">
        <v>6</v>
      </c>
      <c r="BJ37" s="75">
        <v>218</v>
      </c>
      <c r="BK37" s="72">
        <v>3186.0571968657455</v>
      </c>
      <c r="BL37" s="68" t="s">
        <v>50</v>
      </c>
      <c r="BM37" s="73">
        <v>539.2383212015659</v>
      </c>
      <c r="BN37" s="68" t="s">
        <v>50</v>
      </c>
      <c r="BO37" s="74">
        <f t="shared" si="36"/>
        <v>39</v>
      </c>
      <c r="BP37" s="74">
        <f t="shared" si="36"/>
        <v>6</v>
      </c>
      <c r="BQ37" s="75">
        <f t="shared" si="36"/>
        <v>218</v>
      </c>
      <c r="BR37" s="73"/>
      <c r="BS37" s="72">
        <v>6176.2530112208697</v>
      </c>
      <c r="BT37" s="68" t="s">
        <v>50</v>
      </c>
      <c r="BU37" s="73">
        <v>1556.2652210509953</v>
      </c>
      <c r="BV37" s="68" t="s">
        <v>50</v>
      </c>
      <c r="BW37" s="74">
        <v>40.123455182150146</v>
      </c>
      <c r="BX37" s="74">
        <v>21.7</v>
      </c>
      <c r="BY37" s="75">
        <v>732</v>
      </c>
      <c r="BZ37" s="72">
        <v>9264.3795168313045</v>
      </c>
      <c r="CA37" s="68" t="s">
        <v>50</v>
      </c>
      <c r="CB37" s="73">
        <v>1711.8917431560951</v>
      </c>
      <c r="CC37" s="68" t="s">
        <v>50</v>
      </c>
      <c r="CD37" s="74">
        <v>40.123455182150146</v>
      </c>
      <c r="CE37" s="74">
        <v>21.7</v>
      </c>
      <c r="CF37" s="75">
        <v>732</v>
      </c>
      <c r="CH37" s="72">
        <f t="shared" si="37"/>
        <v>5558.6277100987827</v>
      </c>
      <c r="CI37" s="68" t="s">
        <v>50</v>
      </c>
      <c r="CJ37" s="73">
        <f t="shared" si="38"/>
        <v>1400.6386989458958</v>
      </c>
      <c r="CK37" s="68" t="s">
        <v>50</v>
      </c>
      <c r="CL37" s="74">
        <v>40.123455182150146</v>
      </c>
      <c r="CM37" s="74">
        <v>21.7</v>
      </c>
      <c r="CN37" s="75">
        <v>732</v>
      </c>
      <c r="CO37" s="72">
        <f t="shared" si="39"/>
        <v>8337.941565148174</v>
      </c>
      <c r="CP37" s="68" t="s">
        <v>50</v>
      </c>
      <c r="CQ37" s="73">
        <f t="shared" si="40"/>
        <v>1540.7025688404856</v>
      </c>
      <c r="CR37" s="68" t="s">
        <v>50</v>
      </c>
      <c r="CS37" s="74">
        <v>40.123455182150146</v>
      </c>
      <c r="CT37" s="74">
        <v>21.7</v>
      </c>
      <c r="CU37" s="75">
        <v>732</v>
      </c>
      <c r="CW37" s="49">
        <f t="shared" si="3"/>
        <v>1</v>
      </c>
      <c r="CX37" s="49">
        <f t="shared" si="17"/>
        <v>539.2383212015659</v>
      </c>
      <c r="CY37" s="263">
        <f t="shared" si="18"/>
        <v>0</v>
      </c>
      <c r="CZ37" s="49">
        <f t="shared" si="19"/>
        <v>1</v>
      </c>
    </row>
    <row r="38" spans="2:104" ht="15" x14ac:dyDescent="0.25">
      <c r="B38" s="33">
        <v>0.8</v>
      </c>
      <c r="C38" s="3">
        <v>8</v>
      </c>
      <c r="D38" s="27">
        <f>(X38*($T$11^$Q38))*Watts*CF_Altit</f>
        <v>4112.7604759398218</v>
      </c>
      <c r="E38" s="3">
        <f>ROUND(((D38/Watts)/(($S$9-$S$10)*1.163))*$E$14,IF($X$4=1,0,IF($X$4=2,2)))</f>
        <v>354</v>
      </c>
      <c r="F38" s="30">
        <f>($Y$36*(E38/$E$14)^$Y$38)*$F$14</f>
        <v>2.401525268594161</v>
      </c>
      <c r="G38" s="4">
        <f>(Z38*($W$11^R38))*Watts*CF_Altit</f>
        <v>692.9252120314776</v>
      </c>
      <c r="H38" s="4">
        <f>((G38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38+0.001448)*(Tl_cool-Tavg_cold)+(0.016908*$C38-0.033574))*1.039&gt;1,1,1/(1+((2258*((0.622/(($Z$11/(1*611*EXP(17.27*(Tavg_cold/(Tavg_cold+237.3))))))-1)*1000-(0.622/(($Z$11/(RH*611*EXP(17.27*(Tl_cool/(Tl_cool+237.3))))))-1)*1000))/(1005*(Tavg_cold-Tl_cool))))*1.039+((-0.000729*$C38+0.001448)*(Tl_cool-Tavg_cold)+(0.016908*$C38-0.033574))*1.039))))*Watts</f>
        <v>692.9252120314776</v>
      </c>
      <c r="I38" s="3">
        <f>ROUND(((H38/Watts)/((Tr_cool-Tv_cool)*1.163))*$I$14,IF($X$4=1,0,IF($X$4=2,2)))</f>
        <v>298</v>
      </c>
      <c r="J38" s="5">
        <f>($AA$36*(I38/$I$14)^$AA$38)*$J$14</f>
        <v>1.7427407566624442</v>
      </c>
      <c r="K38" s="59">
        <f>L38-8</f>
        <v>38.5</v>
      </c>
      <c r="L38" s="53">
        <f t="shared" si="34"/>
        <v>46.5</v>
      </c>
      <c r="M38" s="46">
        <f t="shared" si="34"/>
        <v>11.1</v>
      </c>
      <c r="N38" s="64">
        <f>AD38*Cubics</f>
        <v>285</v>
      </c>
      <c r="O38" s="253">
        <f>((($D38/Watts)/(((p_atm*0.028964)/(8.31447*(20+273.15)))*(($N38/3600)/Cubics)*(1005+1870*((0.622)/(((p_atm)/($E$12*Pvs_Heat_in))-1)))))+Tl_heat)*Celc1+Celc2</f>
        <v>62.358867991512604</v>
      </c>
      <c r="P38" s="254">
        <f>(Tl_cool-(($G38/Watts)/(1006*$N38*kgss)))*Celc1+Celc2</f>
        <v>19.773640944699224</v>
      </c>
      <c r="Q38" s="220">
        <v>1</v>
      </c>
      <c r="R38" s="113">
        <f t="shared" si="4"/>
        <v>0.85389999999999999</v>
      </c>
      <c r="S38" s="113">
        <v>0.87</v>
      </c>
      <c r="T38" s="113">
        <v>0.95</v>
      </c>
      <c r="U38" s="113">
        <v>0.85389999999999999</v>
      </c>
      <c r="V38" s="144">
        <v>0.89500000000000002</v>
      </c>
      <c r="W38" s="171">
        <f>(H38-G38)/H38</f>
        <v>0</v>
      </c>
      <c r="X38" s="123">
        <f t="shared" si="5"/>
        <v>4112.7604759398218</v>
      </c>
      <c r="Y38" s="124">
        <f t="shared" si="6"/>
        <v>1.862013136789098</v>
      </c>
      <c r="Z38" s="124">
        <f t="shared" si="7"/>
        <v>692.9252120314776</v>
      </c>
      <c r="AA38" s="124">
        <f t="shared" si="8"/>
        <v>1.862013136789098</v>
      </c>
      <c r="AB38" s="125">
        <f t="shared" si="9"/>
        <v>46.5</v>
      </c>
      <c r="AC38" s="125">
        <f t="shared" si="10"/>
        <v>11.1</v>
      </c>
      <c r="AD38" s="126">
        <f t="shared" si="11"/>
        <v>285</v>
      </c>
      <c r="AE38" s="123">
        <v>3929</v>
      </c>
      <c r="AF38" s="124">
        <v>1.8235155847906248</v>
      </c>
      <c r="AG38" s="124">
        <v>634</v>
      </c>
      <c r="AH38" s="124">
        <f>AF38</f>
        <v>1.8235155847906248</v>
      </c>
      <c r="AI38" s="125">
        <v>45</v>
      </c>
      <c r="AJ38" s="125">
        <v>9.1</v>
      </c>
      <c r="AK38" s="126">
        <v>250</v>
      </c>
      <c r="AL38" s="123">
        <f>AE38</f>
        <v>3929</v>
      </c>
      <c r="AM38" s="124">
        <f>AH38</f>
        <v>1.8235155847906248</v>
      </c>
      <c r="AN38" s="124">
        <v>634</v>
      </c>
      <c r="AO38" s="124">
        <f>AM38</f>
        <v>1.8235155847906248</v>
      </c>
      <c r="AP38" s="125">
        <f t="shared" si="35"/>
        <v>45</v>
      </c>
      <c r="AQ38" s="125">
        <f t="shared" si="35"/>
        <v>9.1</v>
      </c>
      <c r="AR38" s="126">
        <f t="shared" si="35"/>
        <v>250</v>
      </c>
      <c r="AS38" s="124"/>
      <c r="AT38" s="1">
        <f>(AG38*((((Tv_cool-Tr_cool)/LN((Tv_cool-Tl_cool)/(Tr_cool-Tl_cool)))/((16-18)/LN((16-27)/(18-27))))^S38))*$G$14</f>
        <v>0.21203777777777749</v>
      </c>
      <c r="AU38" s="1">
        <f>((AT38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38+0.00625)*(Tl_cool-(Tv_cool+Tr_cool)/2)-(-0.000625*$C38+0.00625)*10))))*$H$14</f>
        <v>634</v>
      </c>
      <c r="AV38" s="73"/>
      <c r="AW38" s="182">
        <v>3635</v>
      </c>
      <c r="AX38" s="183">
        <v>1.8</v>
      </c>
      <c r="AY38" s="183">
        <v>643</v>
      </c>
      <c r="AZ38" s="183">
        <v>2</v>
      </c>
      <c r="BA38" s="184">
        <v>47</v>
      </c>
      <c r="BB38" s="184">
        <v>13</v>
      </c>
      <c r="BC38" s="185">
        <v>336</v>
      </c>
      <c r="BD38" s="72">
        <v>2864.9607299999993</v>
      </c>
      <c r="BE38" s="73">
        <v>1.87032</v>
      </c>
      <c r="BF38" s="73">
        <v>675.67011973144383</v>
      </c>
      <c r="BG38" s="73">
        <v>1.9341411629252601</v>
      </c>
      <c r="BH38" s="74">
        <v>46.5</v>
      </c>
      <c r="BI38" s="74">
        <v>11.1</v>
      </c>
      <c r="BJ38" s="75">
        <v>285</v>
      </c>
      <c r="BK38" s="72">
        <v>4112.7604759398218</v>
      </c>
      <c r="BL38" s="73">
        <v>1.862013136789098</v>
      </c>
      <c r="BM38" s="73">
        <v>692.9252120314776</v>
      </c>
      <c r="BN38" s="73">
        <f>BL38</f>
        <v>1.862013136789098</v>
      </c>
      <c r="BO38" s="74">
        <f t="shared" si="36"/>
        <v>46.5</v>
      </c>
      <c r="BP38" s="74">
        <f t="shared" si="36"/>
        <v>11.1</v>
      </c>
      <c r="BQ38" s="75">
        <f t="shared" si="36"/>
        <v>285</v>
      </c>
      <c r="BR38" s="73"/>
      <c r="BS38" s="72">
        <v>7463.8925263548281</v>
      </c>
      <c r="BT38" s="73">
        <v>2</v>
      </c>
      <c r="BU38" s="73">
        <v>2054.9776961431044</v>
      </c>
      <c r="BV38" s="73">
        <v>2</v>
      </c>
      <c r="BW38" s="74">
        <v>48.132836242894129</v>
      </c>
      <c r="BX38" s="74">
        <v>37</v>
      </c>
      <c r="BY38" s="75">
        <v>969</v>
      </c>
      <c r="BZ38" s="72">
        <v>11195.838789532243</v>
      </c>
      <c r="CA38" s="73">
        <v>2</v>
      </c>
      <c r="CB38" s="73">
        <v>2260.4754657574149</v>
      </c>
      <c r="CC38" s="73">
        <v>2</v>
      </c>
      <c r="CD38" s="74">
        <v>48.132836242894129</v>
      </c>
      <c r="CE38" s="74">
        <v>37</v>
      </c>
      <c r="CF38" s="75">
        <v>969</v>
      </c>
      <c r="CH38" s="72">
        <f t="shared" si="37"/>
        <v>6717.5032737193451</v>
      </c>
      <c r="CI38" s="73">
        <v>2</v>
      </c>
      <c r="CJ38" s="73">
        <f t="shared" si="38"/>
        <v>1849.4799265287941</v>
      </c>
      <c r="CK38" s="73">
        <v>2</v>
      </c>
      <c r="CL38" s="74">
        <v>48.132836242894129</v>
      </c>
      <c r="CM38" s="74">
        <v>37</v>
      </c>
      <c r="CN38" s="75">
        <v>969</v>
      </c>
      <c r="CO38" s="72">
        <f t="shared" si="39"/>
        <v>10076.254910579019</v>
      </c>
      <c r="CP38" s="73">
        <v>2</v>
      </c>
      <c r="CQ38" s="73">
        <f t="shared" si="40"/>
        <v>2034.4279191816734</v>
      </c>
      <c r="CR38" s="73">
        <v>2</v>
      </c>
      <c r="CS38" s="74">
        <v>48.132836242894129</v>
      </c>
      <c r="CT38" s="74">
        <v>37</v>
      </c>
      <c r="CU38" s="75">
        <v>969</v>
      </c>
      <c r="CW38" s="49">
        <f t="shared" si="3"/>
        <v>1</v>
      </c>
      <c r="CX38" s="49">
        <f t="shared" si="17"/>
        <v>692.9252120314776</v>
      </c>
      <c r="CY38" s="263">
        <f t="shared" si="18"/>
        <v>0</v>
      </c>
      <c r="CZ38" s="49">
        <f t="shared" si="19"/>
        <v>1</v>
      </c>
    </row>
    <row r="39" spans="2:104" ht="15" x14ac:dyDescent="0.25">
      <c r="B39" s="33">
        <v>1</v>
      </c>
      <c r="C39" s="3">
        <v>10</v>
      </c>
      <c r="D39" s="27">
        <f>(X39*($T$11^$Q39))*Watts*CF_Altit</f>
        <v>4917.3644816368969</v>
      </c>
      <c r="E39" s="3">
        <f>ROUND(((D39/Watts)/(($S$9-$S$10)*1.163))*$E$14,IF($X$4=1,0,IF($X$4=2,2)))</f>
        <v>423</v>
      </c>
      <c r="F39" s="30">
        <f>($Y$36*(E39/$E$14)^$Y$38)*$F$14</f>
        <v>3.345722112767969</v>
      </c>
      <c r="G39" s="4">
        <f>(Z39*($W$11^R39))*Watts*CF_Altit</f>
        <v>838.63944036189139</v>
      </c>
      <c r="H39" s="4">
        <f>((G39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39+0.001448)*(Tl_cool-Tavg_cold)+(0.016908*$C39-0.033574))*1.039&gt;1,1,1/(1+((2258*((0.622/(($Z$11/(1*611*EXP(17.27*(Tavg_cold/(Tavg_cold+237.3))))))-1)*1000-(0.622/(($Z$11/(RH*611*EXP(17.27*(Tl_cool/(Tl_cool+237.3))))))-1)*1000))/(1005*(Tavg_cold-Tl_cool))))*1.039+((-0.000729*$C39+0.001448)*(Tl_cool-Tavg_cold)+(0.016908*$C39-0.033574))*1.039))))*Watts</f>
        <v>838.63944036189139</v>
      </c>
      <c r="I39" s="3">
        <f>ROUND(((H39/Watts)/((Tr_cool-Tv_cool)*1.163))*$I$14,IF($X$4=1,0,IF($X$4=2,2)))</f>
        <v>361</v>
      </c>
      <c r="J39" s="5">
        <f>($AA$36*(I39/$I$14)^$AA$38)*$J$14</f>
        <v>2.4907010759784249</v>
      </c>
      <c r="K39" s="59">
        <f>L39-8</f>
        <v>41.5</v>
      </c>
      <c r="L39" s="53">
        <f t="shared" si="34"/>
        <v>49.5</v>
      </c>
      <c r="M39" s="46">
        <f t="shared" si="34"/>
        <v>18.3</v>
      </c>
      <c r="N39" s="64">
        <f>AD39*Cubics</f>
        <v>339</v>
      </c>
      <c r="O39" s="253">
        <f>((($D39/Watts)/(((p_atm*0.028964)/(8.31447*(20+273.15)))*(($N39/3600)/Cubics)*(1005+1870*((0.622)/(((p_atm)/($E$12*Pvs_Heat_in))-1)))))+Tl_heat)*Celc1+Celc2</f>
        <v>62.578316892269299</v>
      </c>
      <c r="P39" s="254">
        <f>(Tl_cool-(($G39/Watts)/(1006*$N39*kgss)))*Celc1+Celc2</f>
        <v>19.647185358476026</v>
      </c>
      <c r="Q39" s="220">
        <v>1</v>
      </c>
      <c r="R39" s="113">
        <f t="shared" si="4"/>
        <v>0.77110000000000001</v>
      </c>
      <c r="S39" s="113">
        <v>0.91</v>
      </c>
      <c r="T39" s="113">
        <v>0.98</v>
      </c>
      <c r="U39" s="113">
        <v>0.77110000000000001</v>
      </c>
      <c r="V39" s="144">
        <v>0.91110000000000002</v>
      </c>
      <c r="W39" s="171">
        <f>(H39-G39)/H39</f>
        <v>0</v>
      </c>
      <c r="X39" s="127">
        <f t="shared" si="5"/>
        <v>4917.3644816368969</v>
      </c>
      <c r="Y39" s="128">
        <f t="shared" si="6"/>
        <v>0</v>
      </c>
      <c r="Z39" s="129">
        <f t="shared" si="7"/>
        <v>838.63944036189139</v>
      </c>
      <c r="AA39" s="128">
        <f t="shared" si="8"/>
        <v>0</v>
      </c>
      <c r="AB39" s="130">
        <f t="shared" si="9"/>
        <v>49.5</v>
      </c>
      <c r="AC39" s="130">
        <f t="shared" si="10"/>
        <v>18.3</v>
      </c>
      <c r="AD39" s="131">
        <f t="shared" si="11"/>
        <v>339</v>
      </c>
      <c r="AE39" s="127">
        <v>4744</v>
      </c>
      <c r="AF39" s="128"/>
      <c r="AG39" s="129">
        <v>816</v>
      </c>
      <c r="AH39" s="128"/>
      <c r="AI39" s="130">
        <v>49</v>
      </c>
      <c r="AJ39" s="130">
        <v>14.1</v>
      </c>
      <c r="AK39" s="131">
        <v>320</v>
      </c>
      <c r="AL39" s="127">
        <f>AE39</f>
        <v>4744</v>
      </c>
      <c r="AM39" s="128"/>
      <c r="AN39" s="129">
        <v>816</v>
      </c>
      <c r="AO39" s="128"/>
      <c r="AP39" s="130">
        <f t="shared" si="35"/>
        <v>49</v>
      </c>
      <c r="AQ39" s="130">
        <f t="shared" si="35"/>
        <v>14.1</v>
      </c>
      <c r="AR39" s="131">
        <f t="shared" si="35"/>
        <v>320</v>
      </c>
      <c r="AS39" s="124"/>
      <c r="AT39" s="1">
        <f>(AG39*((((Tv_cool-Tr_cool)/LN((Tv_cool-Tl_cool)/(Tr_cool-Tl_cool)))/((16-18)/LN((16-27)/(18-27))))^S39))*$G$14</f>
        <v>0.2729066666666663</v>
      </c>
      <c r="AU39" s="1">
        <f>((AT39/$G$14)/(IF((237.3*LN((RH*EXP(17.27*(Tl_cool/(Tl_cool+237.3))))))/(17.27-LN((RH*EXP(17.27*(Tl_cool/(Tl_cool+237.3))))))&lt;((Tv_cool+Tr_cool)/2),1,1/(1+((2258*((0.622/((p_atm/(1*611*EXP(17.27*(((Tv_cool+Tr_cool)/2)/(((Tv_cool+Tr_cool)/2)+237.3))))))-1)*1000-(0.622/((p_atm/(RH*611*EXP(17.27*(Tl_cool/(Tl_cool+237.3))))))-1)*1000))/(1005*(((Tv_cool+Tr_cool)/2)-Tl_cool))))+-((-0.000625*$C39+0.00625)*(Tl_cool-(Tv_cool+Tr_cool)/2)-(-0.000625*$C39+0.00625)*10))))*$H$14</f>
        <v>816</v>
      </c>
      <c r="AV39" s="73"/>
      <c r="AW39" s="186">
        <v>4255</v>
      </c>
      <c r="AX39" s="187"/>
      <c r="AY39" s="188">
        <v>808</v>
      </c>
      <c r="AZ39" s="187"/>
      <c r="BA39" s="189">
        <v>50.1</v>
      </c>
      <c r="BB39" s="189">
        <v>19.7</v>
      </c>
      <c r="BC39" s="190">
        <v>404</v>
      </c>
      <c r="BD39" s="76">
        <v>3252.2701499999989</v>
      </c>
      <c r="BE39" s="77"/>
      <c r="BF39" s="78">
        <v>825.82729949767406</v>
      </c>
      <c r="BG39" s="77"/>
      <c r="BH39" s="79">
        <v>49.5</v>
      </c>
      <c r="BI39" s="79">
        <v>18.3</v>
      </c>
      <c r="BJ39" s="80">
        <v>339</v>
      </c>
      <c r="BK39" s="76">
        <v>4917.3644816368969</v>
      </c>
      <c r="BL39" s="77"/>
      <c r="BM39" s="78">
        <v>838.63944036189139</v>
      </c>
      <c r="BN39" s="77"/>
      <c r="BO39" s="79">
        <f t="shared" si="36"/>
        <v>49.5</v>
      </c>
      <c r="BP39" s="79">
        <f t="shared" si="36"/>
        <v>18.3</v>
      </c>
      <c r="BQ39" s="80">
        <f t="shared" si="36"/>
        <v>339</v>
      </c>
      <c r="BR39" s="73"/>
      <c r="BS39" s="76">
        <v>8644.8190819845713</v>
      </c>
      <c r="BT39" s="77"/>
      <c r="BU39" s="78">
        <v>2549.4560787075484</v>
      </c>
      <c r="BV39" s="77"/>
      <c r="BW39" s="79">
        <v>53.131608091109797</v>
      </c>
      <c r="BX39" s="79">
        <v>53.8</v>
      </c>
      <c r="BY39" s="80">
        <v>1103</v>
      </c>
      <c r="BZ39" s="76">
        <v>12967.228622976858</v>
      </c>
      <c r="CA39" s="77"/>
      <c r="CB39" s="78">
        <v>2804.4016865783037</v>
      </c>
      <c r="CC39" s="77"/>
      <c r="CD39" s="79">
        <v>53.131608091109797</v>
      </c>
      <c r="CE39" s="79">
        <v>53.8</v>
      </c>
      <c r="CF39" s="80">
        <v>1103</v>
      </c>
      <c r="CH39" s="76">
        <f t="shared" si="37"/>
        <v>7780.3371737861144</v>
      </c>
      <c r="CI39" s="77"/>
      <c r="CJ39" s="78">
        <f t="shared" si="38"/>
        <v>2294.5104708367935</v>
      </c>
      <c r="CK39" s="77"/>
      <c r="CL39" s="79">
        <v>53.131608091109797</v>
      </c>
      <c r="CM39" s="79">
        <v>53.8</v>
      </c>
      <c r="CN39" s="80">
        <v>1103</v>
      </c>
      <c r="CO39" s="76">
        <f t="shared" si="39"/>
        <v>11670.505760679172</v>
      </c>
      <c r="CP39" s="77"/>
      <c r="CQ39" s="78">
        <f t="shared" si="40"/>
        <v>2523.9615179204734</v>
      </c>
      <c r="CR39" s="77"/>
      <c r="CS39" s="79">
        <v>53.131608091109797</v>
      </c>
      <c r="CT39" s="79">
        <v>53.8</v>
      </c>
      <c r="CU39" s="80">
        <v>1103</v>
      </c>
      <c r="CW39" s="49">
        <f t="shared" si="3"/>
        <v>1</v>
      </c>
      <c r="CX39" s="49">
        <f t="shared" si="17"/>
        <v>838.63944036189139</v>
      </c>
      <c r="CY39" s="263">
        <f t="shared" si="18"/>
        <v>0</v>
      </c>
      <c r="CZ39" s="49">
        <f t="shared" si="19"/>
        <v>1</v>
      </c>
    </row>
    <row r="40" spans="2:104" ht="15" x14ac:dyDescent="0.25">
      <c r="B40" s="326" t="str">
        <f>IF($S$7=1,NL!A39,IF(cal!$S$7=2,EN!A39,IF(cal!$S$7=3,DE!A39,IF(cal!$S$7=4,FR!A39,IF(cal!$S$7=5,NR!A39,IF(cal!$S$7=6,SP!A39,IF(cal!$S$7=7,SW!A39,IF(cal!$S$7=8,TS!A39,IF(cal!$S$7=9,ExtraTaal1!A39,IF(cal!$S$7=10,ExtraTaal2!A39,IF(cal!$S$7=11,ExtraTaal3!A39,)))))))))))</f>
        <v>Clima Canal height 13 cm width 32 cm length 170 cm (Type 5)</v>
      </c>
      <c r="C40" s="327">
        <f>IF($S$7=1,NL!B39,IF(cal!$S$7=2,EN!B39,IF(cal!$S$7=3,DE!B39,IF(cal!$S$7=4,FR!B39,IF(cal!$S$7=5,NR!B39,IF(cal!$S$7=6,SP!B39,IF(cal!$S$7=7,SW!B39,IF(cal!$S$7=8,TS!B39,IF(cal!$S$7=9,ExtraTaal1!B39,IF(cal!$S$7=10,ExtraTaal2!B39,IF(cal!$S$7=11,ExtraTaal3!B39,)))))))))))</f>
        <v>0</v>
      </c>
      <c r="D40" s="327">
        <f>IF($S$7=1,NL!C39,IF(cal!$S$7=2,EN!C39,IF(cal!$S$7=3,DE!C39,IF(cal!$S$7=4,FR!C39,IF(cal!$S$7=5,NR!C39,IF(cal!$S$7=6,SP!C39,IF(cal!$S$7=7,SW!C39,IF(cal!$S$7=8,TS!C39,IF(cal!$S$7=9,ExtraTaal1!C39,IF(cal!$S$7=10,ExtraTaal2!C39,IF(cal!$S$7=11,ExtraTaal3!C39,)))))))))))</f>
        <v>0</v>
      </c>
      <c r="E40" s="327">
        <f>IF($S$7=1,NL!D39,IF(cal!$S$7=2,EN!D39,IF(cal!$S$7=3,DE!D39,IF(cal!$S$7=4,FR!D39,IF(cal!$S$7=5,NR!D39,IF(cal!$S$7=6,SP!D39,IF(cal!$S$7=7,SW!D39,IF(cal!$S$7=8,TS!D39,IF(cal!$S$7=9,ExtraTaal1!D39,IF(cal!$S$7=10,ExtraTaal2!D39,IF(cal!$S$7=11,ExtraTaal3!D39,)))))))))))</f>
        <v>0</v>
      </c>
      <c r="F40" s="327">
        <f>IF($S$7=1,NL!E39,IF(cal!$S$7=2,EN!E39,IF(cal!$S$7=3,DE!E39,IF(cal!$S$7=4,FR!E39,IF(cal!$S$7=5,NR!E39,IF(cal!$S$7=6,SP!E39,IF(cal!$S$7=7,SW!E39,IF(cal!$S$7=8,TS!E39,IF(cal!$S$7=9,ExtraTaal1!E39,IF(cal!$S$7=10,ExtraTaal2!E39,IF(cal!$S$7=11,ExtraTaal3!E39,)))))))))))</f>
        <v>0</v>
      </c>
      <c r="G40" s="327">
        <f>IF($S$7=1,NL!F39,IF(cal!$S$7=2,EN!F39,IF(cal!$S$7=3,DE!F39,IF(cal!$S$7=4,FR!F39,IF(cal!$S$7=5,NR!F39,IF(cal!$S$7=6,SP!F39,IF(cal!$S$7=7,SW!F39,IF(cal!$S$7=8,TS!F39,IF(cal!$S$7=9,ExtraTaal1!F39,IF(cal!$S$7=10,ExtraTaal2!F39,IF(cal!$S$7=11,ExtraTaal3!F39,)))))))))))</f>
        <v>0</v>
      </c>
      <c r="H40" s="327">
        <f>IF($S$7=1,NL!G39,IF(cal!$S$7=2,EN!G39,IF(cal!$S$7=3,DE!G39,IF(cal!$S$7=4,FR!G39,IF(cal!$S$7=5,NR!G39,IF(cal!$S$7=6,SP!G39,IF(cal!$S$7=7,SW!G39,IF(cal!$S$7=8,TS!G39,IF(cal!$S$7=9,ExtraTaal1!G39,IF(cal!$S$7=10,ExtraTaal2!G39,IF(cal!$S$7=11,ExtraTaal3!G39,)))))))))))</f>
        <v>0</v>
      </c>
      <c r="I40" s="327">
        <f>IF($S$7=1,NL!H39,IF(cal!$S$7=2,EN!H39,IF(cal!$S$7=3,DE!H39,IF(cal!$S$7=4,FR!H39,IF(cal!$S$7=5,NR!H39,IF(cal!$S$7=6,SP!H39,IF(cal!$S$7=7,SW!H39,IF(cal!$S$7=8,TS!H39,IF(cal!$S$7=9,ExtraTaal1!H39,IF(cal!$S$7=10,ExtraTaal2!H39,IF(cal!$S$7=11,ExtraTaal3!H39,)))))))))))</f>
        <v>0</v>
      </c>
      <c r="J40" s="327">
        <f>IF($S$7=1,NL!I39,IF(cal!$S$7=2,EN!I39,IF(cal!$S$7=3,DE!I39,IF(cal!$S$7=4,FR!I39,IF(cal!$S$7=5,NR!I39,IF(cal!$S$7=6,SP!I39,IF(cal!$S$7=7,SW!I39,IF(cal!$S$7=8,TS!I39,IF(cal!$S$7=9,ExtraTaal1!I39,IF(cal!$S$7=10,ExtraTaal2!I39,IF(cal!$S$7=11,ExtraTaal3!I39,)))))))))))</f>
        <v>0</v>
      </c>
      <c r="K40" s="327">
        <f>IF($S$7=1,NL!J39,IF(cal!$S$7=2,EN!J39,IF(cal!$S$7=3,DE!J39,IF(cal!$S$7=4,FR!J39,IF(cal!$S$7=5,NR!J39,IF(cal!$S$7=6,SP!J39,IF(cal!$S$7=7,SW!J39,IF(cal!$S$7=8,TS!J39,IF(cal!$S$7=9,ExtraTaal1!J39,IF(cal!$S$7=10,ExtraTaal2!J39,IF(cal!$S$7=11,ExtraTaal3!J39,)))))))))))</f>
        <v>0</v>
      </c>
      <c r="L40" s="327">
        <f>IF($S$7=1,NL!K39,IF(cal!$S$7=2,EN!K39,IF(cal!$S$7=3,DE!K39,IF(cal!$S$7=4,FR!K39,IF(cal!$S$7=5,NR!K39,IF(cal!$S$7=6,SP!K39,IF(cal!$S$7=7,SW!K39,IF(cal!$S$7=8,TS!K39,IF(cal!$S$7=9,ExtraTaal1!K39,IF(cal!$S$7=10,ExtraTaal2!K39,IF(cal!$S$7=11,ExtraTaal3!K39,)))))))))))</f>
        <v>0</v>
      </c>
      <c r="M40" s="327">
        <f>IF($S$7=1,NL!L39,IF(cal!$S$7=2,EN!L39,IF(cal!$S$7=3,DE!L39,IF(cal!$S$7=4,FR!L39,IF(cal!$S$7=5,NR!L39,IF(cal!$S$7=6,SP!L39,IF(cal!$S$7=7,SW!L39,IF(cal!$S$7=8,TS!L39,IF(cal!$S$7=9,ExtraTaal1!L39,IF(cal!$S$7=10,ExtraTaal2!L39,IF(cal!$S$7=11,ExtraTaal3!L39,)))))))))))</f>
        <v>0</v>
      </c>
      <c r="N40" s="327">
        <f>IF($S$7=1,NL!M39,IF(cal!$S$7=2,EN!M39,IF(cal!$S$7=3,DE!M39,IF(cal!$S$7=4,FR!M39,IF(cal!$S$7=5,NR!M39,IF(cal!$S$7=6,SP!M39,IF(cal!$S$7=7,SW!M39,IF(cal!$S$7=8,TS!M39,IF(cal!$S$7=9,ExtraTaal1!M39,IF(cal!$S$7=10,ExtraTaal2!M39,IF(cal!$S$7=11,ExtraTaal3!M39,)))))))))))</f>
        <v>0</v>
      </c>
      <c r="O40" s="327">
        <f>IF($S$7=1,NL!N39,IF(cal!$S$7=2,EN!N39,IF(cal!$S$7=3,DE!N39,IF(cal!$S$7=4,FR!N39,IF(cal!$S$7=5,NR!N39,IF(cal!$S$7=6,SP!N39,IF(cal!$S$7=7,SW!N39,IF(cal!$S$7=8,TS!N39,IF(cal!$S$7=9,ExtraTaal1!N39,IF(cal!$S$7=10,ExtraTaal2!N39,IF(cal!$S$7=11,ExtraTaal3!N39,)))))))))))</f>
        <v>0</v>
      </c>
      <c r="P40" s="328">
        <f>IF($S$7=1,NL!O39,IF(cal!$S$7=2,EN!O39,IF(cal!$S$7=3,DE!O39,IF(cal!$S$7=4,FR!O39,IF(cal!$S$7=5,NR!O39,IF(cal!$S$7=6,SP!O39,IF(cal!$S$7=7,SW!O39,IF(cal!$S$7=8,TS!O39,IF(cal!$S$7=9,ExtraTaal1!O39,IF(cal!$S$7=10,ExtraTaal2!O39,IF(cal!$S$7=11,ExtraTaal3!O39,)))))))))))</f>
        <v>0</v>
      </c>
      <c r="Q40" s="207" t="s">
        <v>11</v>
      </c>
      <c r="R40" s="113" t="str">
        <f t="shared" si="4"/>
        <v>n-value</v>
      </c>
      <c r="S40" s="52" t="s">
        <v>11</v>
      </c>
      <c r="T40" s="52" t="s">
        <v>11</v>
      </c>
      <c r="U40" s="52" t="s">
        <v>11</v>
      </c>
      <c r="V40" s="114" t="s">
        <v>11</v>
      </c>
      <c r="W40" s="171"/>
      <c r="X40" s="132" t="str">
        <f t="shared" si="5"/>
        <v>H</v>
      </c>
      <c r="Y40" s="138">
        <f t="shared" si="6"/>
        <v>13</v>
      </c>
      <c r="Z40" s="132" t="str">
        <f t="shared" si="7"/>
        <v>B</v>
      </c>
      <c r="AA40" s="138">
        <f t="shared" si="8"/>
        <v>32</v>
      </c>
      <c r="AB40" s="132" t="str">
        <f t="shared" si="9"/>
        <v>L</v>
      </c>
      <c r="AC40" s="137">
        <f t="shared" si="10"/>
        <v>140</v>
      </c>
      <c r="AD40" s="139">
        <f t="shared" si="11"/>
        <v>0</v>
      </c>
      <c r="AE40" s="132" t="s">
        <v>61</v>
      </c>
      <c r="AF40" s="138">
        <f>AF34</f>
        <v>8</v>
      </c>
      <c r="AG40" s="132" t="s">
        <v>62</v>
      </c>
      <c r="AH40" s="138">
        <f>AH34</f>
        <v>18</v>
      </c>
      <c r="AI40" s="132" t="s">
        <v>63</v>
      </c>
      <c r="AJ40" s="137">
        <f>180*IF($X$4=1,1,IF($X$4=2,1/2.54))</f>
        <v>180</v>
      </c>
      <c r="AK40" s="139"/>
      <c r="AL40" s="132" t="s">
        <v>61</v>
      </c>
      <c r="AM40" s="138">
        <f>AM34</f>
        <v>10</v>
      </c>
      <c r="AN40" s="132" t="s">
        <v>62</v>
      </c>
      <c r="AO40" s="138">
        <f>AO34</f>
        <v>18</v>
      </c>
      <c r="AP40" s="132" t="s">
        <v>63</v>
      </c>
      <c r="AQ40" s="136">
        <f>AJ40</f>
        <v>180</v>
      </c>
      <c r="AR40" s="139"/>
      <c r="AS40" s="140"/>
      <c r="AT40" s="140"/>
      <c r="AU40" s="140"/>
      <c r="AV40" s="86"/>
      <c r="AW40" s="191" t="s">
        <v>61</v>
      </c>
      <c r="AX40" s="192">
        <f>AX22</f>
        <v>13</v>
      </c>
      <c r="AY40" s="191" t="s">
        <v>62</v>
      </c>
      <c r="AZ40" s="192">
        <f>AZ22</f>
        <v>27</v>
      </c>
      <c r="BA40" s="191" t="s">
        <v>63</v>
      </c>
      <c r="BB40" s="192">
        <f>IF($X$4=1,180.3,180.3/2.54)</f>
        <v>180.3</v>
      </c>
      <c r="BC40" s="193"/>
      <c r="BD40" s="83" t="s">
        <v>61</v>
      </c>
      <c r="BE40" s="84">
        <f>BE22</f>
        <v>13</v>
      </c>
      <c r="BF40" s="83" t="s">
        <v>62</v>
      </c>
      <c r="BG40" s="84">
        <f>BG22</f>
        <v>32</v>
      </c>
      <c r="BH40" s="83" t="s">
        <v>63</v>
      </c>
      <c r="BI40" s="84">
        <f>IF($X$4=1,140,140/2.54)</f>
        <v>140</v>
      </c>
      <c r="BJ40" s="82"/>
      <c r="BK40" s="83" t="s">
        <v>61</v>
      </c>
      <c r="BL40" s="84">
        <f>BL22</f>
        <v>13</v>
      </c>
      <c r="BM40" s="83" t="s">
        <v>62</v>
      </c>
      <c r="BN40" s="84">
        <f>BN22</f>
        <v>32</v>
      </c>
      <c r="BO40" s="83" t="s">
        <v>63</v>
      </c>
      <c r="BP40" s="84">
        <f>IF($X$4=1,140,140/2.54)</f>
        <v>140</v>
      </c>
      <c r="BQ40" s="82"/>
      <c r="BR40" s="86"/>
      <c r="BS40" s="83" t="s">
        <v>61</v>
      </c>
      <c r="BT40" s="143">
        <f>BT34</f>
        <v>19</v>
      </c>
      <c r="BU40" s="83" t="s">
        <v>62</v>
      </c>
      <c r="BV40" s="143">
        <f>BV34</f>
        <v>34</v>
      </c>
      <c r="BW40" s="83" t="s">
        <v>63</v>
      </c>
      <c r="BX40" s="141">
        <f>280*IF($X$4=1,1,IF($X$4=2,1/2.54))</f>
        <v>280</v>
      </c>
      <c r="BY40" s="87"/>
      <c r="BZ40" s="83" t="s">
        <v>61</v>
      </c>
      <c r="CA40" s="143">
        <f>CA34</f>
        <v>19</v>
      </c>
      <c r="CB40" s="83" t="s">
        <v>62</v>
      </c>
      <c r="CC40" s="143">
        <f>CC34</f>
        <v>34</v>
      </c>
      <c r="CD40" s="83" t="s">
        <v>63</v>
      </c>
      <c r="CE40" s="142">
        <f>BX40</f>
        <v>280</v>
      </c>
      <c r="CF40" s="87"/>
      <c r="CH40" s="83" t="s">
        <v>61</v>
      </c>
      <c r="CI40" s="143">
        <f>CI34</f>
        <v>15</v>
      </c>
      <c r="CJ40" s="83" t="s">
        <v>62</v>
      </c>
      <c r="CK40" s="143">
        <f>CK34</f>
        <v>32</v>
      </c>
      <c r="CL40" s="83" t="s">
        <v>63</v>
      </c>
      <c r="CM40" s="141">
        <f>280*IF($X$4=1,1,IF($X$4=2,1/2.54))</f>
        <v>280</v>
      </c>
      <c r="CN40" s="87"/>
      <c r="CO40" s="83" t="s">
        <v>61</v>
      </c>
      <c r="CP40" s="143">
        <f>CP34</f>
        <v>15</v>
      </c>
      <c r="CQ40" s="83" t="s">
        <v>62</v>
      </c>
      <c r="CR40" s="143">
        <f>CR34</f>
        <v>32</v>
      </c>
      <c r="CS40" s="83" t="s">
        <v>63</v>
      </c>
      <c r="CT40" s="142">
        <f>CM40</f>
        <v>280</v>
      </c>
      <c r="CU40" s="87"/>
      <c r="CW40" s="49">
        <f t="shared" si="3"/>
        <v>1</v>
      </c>
      <c r="CX40" s="49">
        <f t="shared" si="17"/>
        <v>0</v>
      </c>
      <c r="CY40" s="263">
        <f t="shared" si="18"/>
        <v>0</v>
      </c>
      <c r="CZ40" s="49">
        <f t="shared" si="19"/>
        <v>1</v>
      </c>
    </row>
    <row r="41" spans="2:104" ht="15" x14ac:dyDescent="0.25">
      <c r="B41" s="33">
        <v>0.2</v>
      </c>
      <c r="C41" s="3">
        <v>2</v>
      </c>
      <c r="D41" s="27">
        <f>(X41*($T$11^$Q41))*Watts*CF_Altit</f>
        <v>1246.4550848435726</v>
      </c>
      <c r="E41" s="3">
        <f>ROUND(((D41/Watts)/(($S$9-$S$10)*1.163))*$E$14,IF($X$4=1,0,IF($X$4=2,2)))</f>
        <v>107</v>
      </c>
      <c r="F41" s="30">
        <f>($Y$42*(E41/$E$14)^$Y$44)*$F$14</f>
        <v>0.30178323793610806</v>
      </c>
      <c r="G41" s="4">
        <f>(Z41*($W$11^R41))*Watts*CF_Altit</f>
        <v>268.22091495433523</v>
      </c>
      <c r="H41" s="4">
        <f>((G41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41+0.001448)*(Tl_cool-Tavg_cold)+(0.016908*$C41-0.033574))*1.039&gt;1,1,1/(1+((2258*((0.622/(($Z$11/(1*611*EXP(17.27*(Tavg_cold/(Tavg_cold+237.3))))))-1)*1000-(0.622/(($Z$11/(RH*611*EXP(17.27*(Tl_cool/(Tl_cool+237.3))))))-1)*1000))/(1005*(Tavg_cold-Tl_cool))))*1.039+((-0.000729*$C41+0.001448)*(Tl_cool-Tavg_cold)+(0.016908*$C41-0.033574))*1.039))))*Watts</f>
        <v>268.22091495433523</v>
      </c>
      <c r="I41" s="3">
        <f>ROUND(((H41/Watts)/((Tr_cool-Tv_cool)*1.163))*$I$14,IF($X$4=1,0,IF($X$4=2,2)))</f>
        <v>115</v>
      </c>
      <c r="J41" s="5">
        <f>($AA$42*(I41/$I$14)^$AA$44)*$J$14</f>
        <v>0.34476285752532837</v>
      </c>
      <c r="K41" s="59">
        <f>L41-8</f>
        <v>22</v>
      </c>
      <c r="L41" s="53">
        <f t="shared" ref="L41:M45" si="41">AB41</f>
        <v>30</v>
      </c>
      <c r="M41" s="46">
        <f t="shared" si="41"/>
        <v>2.3839999999999999</v>
      </c>
      <c r="N41" s="64">
        <f>AD41*Cubics</f>
        <v>84</v>
      </c>
      <c r="O41" s="251">
        <f>((($D41/Watts)/(((p_atm*0.028964)/(8.31447*(20+273.15)))*(($N41/3600)/Cubics)*(1005+1870*((0.622)/(((p_atm)/($E$12*Pvs_Heat_in))-1)))))+Tl_heat)*Celc1+Celc2</f>
        <v>63.556516159419587</v>
      </c>
      <c r="P41" s="252">
        <f>(Tl_cool-(($G41/Watts)/(1006*$N41*kgss)))*Celc1+Celc2</f>
        <v>17.50944988749271</v>
      </c>
      <c r="Q41" s="220">
        <v>1</v>
      </c>
      <c r="R41" s="113">
        <f t="shared" si="4"/>
        <v>0.78069999999999995</v>
      </c>
      <c r="S41" s="194">
        <v>0</v>
      </c>
      <c r="T41" s="194">
        <v>0</v>
      </c>
      <c r="U41" s="113">
        <v>0.78069999999999995</v>
      </c>
      <c r="V41" s="194">
        <v>0</v>
      </c>
      <c r="W41" s="171">
        <f>(H41-G41)/H41</f>
        <v>0</v>
      </c>
      <c r="X41" s="118">
        <f t="shared" si="5"/>
        <v>1246.4550848435726</v>
      </c>
      <c r="Y41" s="119" t="str">
        <f t="shared" si="6"/>
        <v>a</v>
      </c>
      <c r="Z41" s="120">
        <f t="shared" si="7"/>
        <v>268.22091495433523</v>
      </c>
      <c r="AA41" s="119" t="str">
        <f t="shared" si="8"/>
        <v>a</v>
      </c>
      <c r="AB41" s="121">
        <f t="shared" si="9"/>
        <v>30</v>
      </c>
      <c r="AC41" s="121">
        <f t="shared" si="10"/>
        <v>2.3839999999999999</v>
      </c>
      <c r="AD41" s="120">
        <f t="shared" si="11"/>
        <v>84</v>
      </c>
      <c r="AE41" s="67"/>
      <c r="AF41" s="68"/>
      <c r="AG41" s="69"/>
      <c r="AH41" s="68"/>
      <c r="AI41" s="70"/>
      <c r="AJ41" s="70"/>
      <c r="AK41" s="71"/>
      <c r="AL41" s="67"/>
      <c r="AM41" s="68"/>
      <c r="AN41" s="69"/>
      <c r="AO41" s="68"/>
      <c r="AP41" s="70"/>
      <c r="AQ41" s="70"/>
      <c r="AR41" s="71"/>
      <c r="AS41" s="73"/>
      <c r="AT41" s="73"/>
      <c r="AU41" s="73"/>
      <c r="AV41" s="73"/>
      <c r="AW41" s="177"/>
      <c r="AX41" s="178"/>
      <c r="AY41" s="179"/>
      <c r="AZ41" s="178"/>
      <c r="BA41" s="180"/>
      <c r="BB41" s="180"/>
      <c r="BC41" s="181"/>
      <c r="BD41" s="67">
        <v>1069.3056299999998</v>
      </c>
      <c r="BE41" s="68" t="s">
        <v>49</v>
      </c>
      <c r="BF41" s="69">
        <v>257.52950118313976</v>
      </c>
      <c r="BG41" s="68" t="s">
        <v>49</v>
      </c>
      <c r="BH41" s="70">
        <v>30</v>
      </c>
      <c r="BI41" s="70">
        <v>2.3839999999999999</v>
      </c>
      <c r="BJ41" s="71">
        <v>84</v>
      </c>
      <c r="BK41" s="67">
        <v>1246.4550848435726</v>
      </c>
      <c r="BL41" s="68" t="s">
        <v>49</v>
      </c>
      <c r="BM41" s="69">
        <v>268.22091495433523</v>
      </c>
      <c r="BN41" s="68" t="s">
        <v>49</v>
      </c>
      <c r="BO41" s="70">
        <f t="shared" ref="BO41:BQ45" si="42">BH41</f>
        <v>30</v>
      </c>
      <c r="BP41" s="70">
        <f t="shared" si="42"/>
        <v>2.3839999999999999</v>
      </c>
      <c r="BQ41" s="71">
        <f t="shared" si="42"/>
        <v>84</v>
      </c>
      <c r="BR41" s="73"/>
      <c r="BS41" s="67"/>
      <c r="BT41" s="68"/>
      <c r="BU41" s="69"/>
      <c r="BV41" s="68"/>
      <c r="BW41" s="70"/>
      <c r="BX41" s="70"/>
      <c r="BY41" s="71"/>
      <c r="BZ41" s="67"/>
      <c r="CA41" s="68"/>
      <c r="CB41" s="69"/>
      <c r="CC41" s="68"/>
      <c r="CD41" s="70"/>
      <c r="CE41" s="70"/>
      <c r="CF41" s="71"/>
      <c r="CW41" s="49">
        <f t="shared" si="3"/>
        <v>1</v>
      </c>
      <c r="CX41" s="49">
        <f t="shared" si="17"/>
        <v>268.22091495433523</v>
      </c>
      <c r="CY41" s="263">
        <f t="shared" si="18"/>
        <v>0</v>
      </c>
      <c r="CZ41" s="49">
        <f t="shared" si="19"/>
        <v>1</v>
      </c>
    </row>
    <row r="42" spans="2:104" ht="15" x14ac:dyDescent="0.25">
      <c r="B42" s="33">
        <v>0.4</v>
      </c>
      <c r="C42" s="3">
        <v>4</v>
      </c>
      <c r="D42" s="27">
        <f>(X42*($T$11^$Q42))*Watts*CF_Altit</f>
        <v>2756.7487442450069</v>
      </c>
      <c r="E42" s="3">
        <f>ROUND(((D42/Watts)/(($S$9-$S$10)*1.163))*$E$14,IF($X$4=1,0,IF($X$4=2,2)))</f>
        <v>237</v>
      </c>
      <c r="F42" s="30">
        <f>($Y$42*(E42/$E$14)^$Y$44)*$F$14</f>
        <v>1.3105519923123687</v>
      </c>
      <c r="G42" s="4">
        <f>(Z42*($W$11^R42))*Watts*CF_Altit</f>
        <v>487.02188899452034</v>
      </c>
      <c r="H42" s="4">
        <f>((G42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42+0.001448)*(Tl_cool-Tavg_cold)+(0.016908*$C42-0.033574))*1.039&gt;1,1,1/(1+((2258*((0.622/(($Z$11/(1*611*EXP(17.27*(Tavg_cold/(Tavg_cold+237.3))))))-1)*1000-(0.622/(($Z$11/(RH*611*EXP(17.27*(Tl_cool/(Tl_cool+237.3))))))-1)*1000))/(1005*(Tavg_cold-Tl_cool))))*1.039+((-0.000729*$C42+0.001448)*(Tl_cool-Tavg_cold)+(0.016908*$C42-0.033574))*1.039))))*Watts</f>
        <v>487.02188899452034</v>
      </c>
      <c r="I42" s="3">
        <f>ROUND(((H42/Watts)/((Tr_cool-Tv_cool)*1.163))*$I$14,IF($X$4=1,0,IF($X$4=2,2)))</f>
        <v>209</v>
      </c>
      <c r="J42" s="5">
        <f>($AA$42*(I42/$I$14)^$AA$44)*$J$14</f>
        <v>1.0390218472959192</v>
      </c>
      <c r="K42" s="59">
        <f>L42-8</f>
        <v>27</v>
      </c>
      <c r="L42" s="53">
        <f t="shared" si="41"/>
        <v>35</v>
      </c>
      <c r="M42" s="46">
        <f t="shared" si="41"/>
        <v>4.2</v>
      </c>
      <c r="N42" s="64">
        <f>AD42*Cubics</f>
        <v>158</v>
      </c>
      <c r="O42" s="253">
        <f>((($D42/Watts)/(((p_atm*0.028964)/(8.31447*(20+273.15)))*(($N42/3600)/Cubics)*(1005+1870*((0.622)/(((p_atm)/($E$12*Pvs_Heat_in))-1)))))+Tl_heat)*Celc1+Celc2</f>
        <v>71.214847822086469</v>
      </c>
      <c r="P42" s="254">
        <f>(Tl_cool-(($G42/Watts)/(1006*$N42*kgss)))*Celc1+Celc2</f>
        <v>17.838440067048211</v>
      </c>
      <c r="Q42" s="220">
        <v>1</v>
      </c>
      <c r="R42" s="113">
        <f t="shared" si="4"/>
        <v>0.85870000000000002</v>
      </c>
      <c r="S42" s="194">
        <v>0</v>
      </c>
      <c r="T42" s="194">
        <v>0</v>
      </c>
      <c r="U42" s="113">
        <v>0.85870000000000002</v>
      </c>
      <c r="V42" s="194">
        <v>0</v>
      </c>
      <c r="W42" s="171">
        <f>(H42-G42)/H42</f>
        <v>0</v>
      </c>
      <c r="X42" s="123">
        <f t="shared" si="5"/>
        <v>2756.7487442450069</v>
      </c>
      <c r="Y42" s="124">
        <f t="shared" si="6"/>
        <v>5.3973746074995627E-5</v>
      </c>
      <c r="Z42" s="124">
        <f t="shared" si="7"/>
        <v>487.02188899452034</v>
      </c>
      <c r="AA42" s="124">
        <f t="shared" si="8"/>
        <v>5.3973746074995627E-5</v>
      </c>
      <c r="AB42" s="125">
        <f t="shared" si="9"/>
        <v>35</v>
      </c>
      <c r="AC42" s="125">
        <f t="shared" si="10"/>
        <v>4.2</v>
      </c>
      <c r="AD42" s="124">
        <f t="shared" si="11"/>
        <v>158</v>
      </c>
      <c r="AE42" s="72"/>
      <c r="AF42" s="73"/>
      <c r="AG42" s="73"/>
      <c r="AH42" s="73"/>
      <c r="AI42" s="74"/>
      <c r="AJ42" s="74"/>
      <c r="AK42" s="75"/>
      <c r="AL42" s="72"/>
      <c r="AM42" s="73"/>
      <c r="AN42" s="73"/>
      <c r="AO42" s="73"/>
      <c r="AP42" s="74"/>
      <c r="AQ42" s="74"/>
      <c r="AR42" s="75"/>
      <c r="AS42" s="73"/>
      <c r="AT42" s="73"/>
      <c r="AU42" s="73"/>
      <c r="AV42" s="73"/>
      <c r="AW42" s="182"/>
      <c r="AX42" s="183"/>
      <c r="AY42" s="183"/>
      <c r="AZ42" s="183"/>
      <c r="BA42" s="184"/>
      <c r="BB42" s="184"/>
      <c r="BC42" s="185"/>
      <c r="BD42" s="72">
        <v>2132.5583699999997</v>
      </c>
      <c r="BE42" s="73">
        <v>6.8933500000000007E-5</v>
      </c>
      <c r="BF42" s="73">
        <v>467.68251622130913</v>
      </c>
      <c r="BG42" s="73">
        <v>1.6396787877446146E-5</v>
      </c>
      <c r="BH42" s="74">
        <v>35</v>
      </c>
      <c r="BI42" s="74">
        <v>4.2</v>
      </c>
      <c r="BJ42" s="75">
        <v>158</v>
      </c>
      <c r="BK42" s="72">
        <v>2756.7487442450069</v>
      </c>
      <c r="BL42" s="73">
        <v>5.3973746074995627E-5</v>
      </c>
      <c r="BM42" s="73">
        <v>487.02188899452034</v>
      </c>
      <c r="BN42" s="73">
        <f>BL42</f>
        <v>5.3973746074995627E-5</v>
      </c>
      <c r="BO42" s="74">
        <f t="shared" si="42"/>
        <v>35</v>
      </c>
      <c r="BP42" s="74">
        <f t="shared" si="42"/>
        <v>4.2</v>
      </c>
      <c r="BQ42" s="75">
        <f t="shared" si="42"/>
        <v>158</v>
      </c>
      <c r="BR42" s="73"/>
      <c r="BS42" s="72"/>
      <c r="BT42" s="73"/>
      <c r="BU42" s="73"/>
      <c r="BV42" s="73"/>
      <c r="BW42" s="74"/>
      <c r="BX42" s="74"/>
      <c r="BY42" s="75"/>
      <c r="BZ42" s="72"/>
      <c r="CA42" s="73"/>
      <c r="CB42" s="73"/>
      <c r="CC42" s="73"/>
      <c r="CD42" s="74"/>
      <c r="CE42" s="74"/>
      <c r="CF42" s="75"/>
      <c r="CW42" s="49">
        <f t="shared" si="3"/>
        <v>1</v>
      </c>
      <c r="CX42" s="49">
        <f t="shared" si="17"/>
        <v>487.02188899452034</v>
      </c>
      <c r="CY42" s="263">
        <f t="shared" si="18"/>
        <v>0</v>
      </c>
      <c r="CZ42" s="49">
        <f t="shared" si="19"/>
        <v>1</v>
      </c>
    </row>
    <row r="43" spans="2:104" ht="15" x14ac:dyDescent="0.25">
      <c r="B43" s="33">
        <v>0.6</v>
      </c>
      <c r="C43" s="3">
        <v>6</v>
      </c>
      <c r="D43" s="27">
        <f>(X43*($T$11^$Q43))*Watts*CF_Altit</f>
        <v>4109.5520365369757</v>
      </c>
      <c r="E43" s="3">
        <f>ROUND(((D43/Watts)/(($S$9-$S$10)*1.163))*$E$14,IF($X$4=1,0,IF($X$4=2,2)))</f>
        <v>353</v>
      </c>
      <c r="F43" s="30">
        <f>($Y$42*(E43/$E$14)^$Y$44)*$F$14</f>
        <v>2.7350747723074424</v>
      </c>
      <c r="G43" s="4">
        <f>(Z43*($W$11^R43))*Watts*CF_Altit</f>
        <v>695.53928386868654</v>
      </c>
      <c r="H43" s="4">
        <f>((G43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43+0.001448)*(Tl_cool-Tavg_cold)+(0.016908*$C43-0.033574))*1.039&gt;1,1,1/(1+((2258*((0.622/(($Z$11/(1*611*EXP(17.27*(Tavg_cold/(Tavg_cold+237.3))))))-1)*1000-(0.622/(($Z$11/(RH*611*EXP(17.27*(Tl_cool/(Tl_cool+237.3))))))-1)*1000))/(1005*(Tavg_cold-Tl_cool))))*1.039+((-0.000729*$C43+0.001448)*(Tl_cool-Tavg_cold)+(0.016908*$C43-0.033574))*1.039))))*Watts</f>
        <v>695.53928386868654</v>
      </c>
      <c r="I43" s="3">
        <f>ROUND(((H43/Watts)/((Tr_cool-Tv_cool)*1.163))*$I$14,IF($X$4=1,0,IF($X$4=2,2)))</f>
        <v>299</v>
      </c>
      <c r="J43" s="5">
        <f>($AA$42*(I43/$I$14)^$AA$44)*$J$14</f>
        <v>2.0128943688264105</v>
      </c>
      <c r="K43" s="59">
        <f>L43-8</f>
        <v>32</v>
      </c>
      <c r="L43" s="53">
        <f t="shared" si="41"/>
        <v>40</v>
      </c>
      <c r="M43" s="46">
        <f t="shared" si="41"/>
        <v>7.7</v>
      </c>
      <c r="N43" s="64">
        <f>AD43*Cubics</f>
        <v>259</v>
      </c>
      <c r="O43" s="253">
        <f>((($D43/Watts)/(((p_atm*0.028964)/(8.31447*(20+273.15)))*(($N43/3600)/Cubics)*(1005+1870*((0.622)/(((p_atm)/($E$12*Pvs_Heat_in))-1)))))+Tl_heat)*Celc1+Celc2</f>
        <v>66.57474738988455</v>
      </c>
      <c r="P43" s="254">
        <f>(Tl_cool-(($G43/Watts)/(1006*$N43*kgss)))*Celc1+Celc2</f>
        <v>19.018216698324416</v>
      </c>
      <c r="Q43" s="220">
        <v>1</v>
      </c>
      <c r="R43" s="113">
        <f t="shared" si="4"/>
        <v>0.8831</v>
      </c>
      <c r="S43" s="194">
        <v>0</v>
      </c>
      <c r="T43" s="194">
        <v>0</v>
      </c>
      <c r="U43" s="113">
        <v>0.8831</v>
      </c>
      <c r="V43" s="194">
        <v>0</v>
      </c>
      <c r="W43" s="171">
        <f>(H43-G43)/H43</f>
        <v>0</v>
      </c>
      <c r="X43" s="123">
        <f t="shared" si="5"/>
        <v>4109.5520365369757</v>
      </c>
      <c r="Y43" s="119" t="str">
        <f t="shared" si="6"/>
        <v>b</v>
      </c>
      <c r="Z43" s="124">
        <f t="shared" si="7"/>
        <v>695.53928386868654</v>
      </c>
      <c r="AA43" s="119" t="str">
        <f t="shared" si="8"/>
        <v>b</v>
      </c>
      <c r="AB43" s="125">
        <f t="shared" si="9"/>
        <v>40</v>
      </c>
      <c r="AC43" s="125">
        <f t="shared" si="10"/>
        <v>7.7</v>
      </c>
      <c r="AD43" s="124">
        <f t="shared" si="11"/>
        <v>259</v>
      </c>
      <c r="AE43" s="72"/>
      <c r="AF43" s="68"/>
      <c r="AG43" s="73"/>
      <c r="AH43" s="68"/>
      <c r="AI43" s="74"/>
      <c r="AJ43" s="74"/>
      <c r="AK43" s="75"/>
      <c r="AL43" s="72"/>
      <c r="AM43" s="68"/>
      <c r="AN43" s="73"/>
      <c r="AO43" s="68"/>
      <c r="AP43" s="74"/>
      <c r="AQ43" s="74"/>
      <c r="AR43" s="75"/>
      <c r="AS43" s="73"/>
      <c r="AT43" s="73"/>
      <c r="AU43" s="73"/>
      <c r="AV43" s="73"/>
      <c r="AW43" s="182"/>
      <c r="AX43" s="178"/>
      <c r="AY43" s="183"/>
      <c r="AZ43" s="178"/>
      <c r="BA43" s="184"/>
      <c r="BB43" s="184"/>
      <c r="BC43" s="185"/>
      <c r="BD43" s="72">
        <v>3007.9178699999998</v>
      </c>
      <c r="BE43" s="68" t="s">
        <v>50</v>
      </c>
      <c r="BF43" s="73">
        <v>672.34485957619734</v>
      </c>
      <c r="BG43" s="68" t="s">
        <v>50</v>
      </c>
      <c r="BH43" s="74">
        <v>40</v>
      </c>
      <c r="BI43" s="74">
        <v>7.7</v>
      </c>
      <c r="BJ43" s="75">
        <v>259</v>
      </c>
      <c r="BK43" s="72">
        <v>4109.5520365369757</v>
      </c>
      <c r="BL43" s="68" t="s">
        <v>50</v>
      </c>
      <c r="BM43" s="73">
        <v>695.53928386868654</v>
      </c>
      <c r="BN43" s="68" t="s">
        <v>50</v>
      </c>
      <c r="BO43" s="74">
        <f t="shared" si="42"/>
        <v>40</v>
      </c>
      <c r="BP43" s="74">
        <f t="shared" si="42"/>
        <v>7.7</v>
      </c>
      <c r="BQ43" s="75">
        <f t="shared" si="42"/>
        <v>259</v>
      </c>
      <c r="BR43" s="73"/>
      <c r="BS43" s="72"/>
      <c r="BT43" s="68"/>
      <c r="BU43" s="73"/>
      <c r="BV43" s="68"/>
      <c r="BW43" s="74"/>
      <c r="BX43" s="74"/>
      <c r="BY43" s="75"/>
      <c r="BZ43" s="72"/>
      <c r="CA43" s="68"/>
      <c r="CB43" s="73"/>
      <c r="CC43" s="68"/>
      <c r="CD43" s="74"/>
      <c r="CE43" s="74"/>
      <c r="CF43" s="75"/>
      <c r="CW43" s="49">
        <f t="shared" si="3"/>
        <v>1</v>
      </c>
      <c r="CX43" s="49">
        <f t="shared" si="17"/>
        <v>695.53928386868654</v>
      </c>
      <c r="CY43" s="263">
        <f t="shared" si="18"/>
        <v>0</v>
      </c>
      <c r="CZ43" s="49">
        <f t="shared" si="19"/>
        <v>1</v>
      </c>
    </row>
    <row r="44" spans="2:104" ht="15" x14ac:dyDescent="0.25">
      <c r="B44" s="33">
        <v>0.8</v>
      </c>
      <c r="C44" s="3">
        <v>8</v>
      </c>
      <c r="D44" s="27">
        <f>(X44*($T$11^$Q44))*Watts*CF_Altit</f>
        <v>5304.8649617194806</v>
      </c>
      <c r="E44" s="3">
        <f>ROUND(((D44/Watts)/(($S$9-$S$10)*1.163))*$E$14,IF($X$4=1,0,IF($X$4=2,2)))</f>
        <v>456</v>
      </c>
      <c r="F44" s="30">
        <f>($Y$42*(E44/$E$14)^$Y$44)*$F$14</f>
        <v>4.3882947063228155</v>
      </c>
      <c r="G44" s="4">
        <f>(Z44*($W$11^R44))*Watts*CF_Altit</f>
        <v>893.77309957683349</v>
      </c>
      <c r="H44" s="4">
        <f>((G44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44+0.001448)*(Tl_cool-Tavg_cold)+(0.016908*$C44-0.033574))*1.039&gt;1,1,1/(1+((2258*((0.622/(($Z$11/(1*611*EXP(17.27*(Tavg_cold/(Tavg_cold+237.3))))))-1)*1000-(0.622/(($Z$11/(RH*611*EXP(17.27*(Tl_cool/(Tl_cool+237.3))))))-1)*1000))/(1005*(Tavg_cold-Tl_cool))))*1.039+((-0.000729*$C44+0.001448)*(Tl_cool-Tavg_cold)+(0.016908*$C44-0.033574))*1.039))))*Watts</f>
        <v>893.77309957683349</v>
      </c>
      <c r="I44" s="3">
        <f>ROUND(((H44/Watts)/((Tr_cool-Tv_cool)*1.163))*$I$14,IF($X$4=1,0,IF($X$4=2,2)))</f>
        <v>384</v>
      </c>
      <c r="J44" s="5">
        <f>($AA$42*(I44/$I$14)^$AA$44)*$J$14</f>
        <v>3.1950335051176335</v>
      </c>
      <c r="K44" s="59">
        <f>L44-8</f>
        <v>39</v>
      </c>
      <c r="L44" s="53">
        <f t="shared" si="41"/>
        <v>47</v>
      </c>
      <c r="M44" s="46">
        <f t="shared" si="41"/>
        <v>13.5</v>
      </c>
      <c r="N44" s="64">
        <f>AD44*Cubics</f>
        <v>352</v>
      </c>
      <c r="O44" s="253">
        <f>((($D44/Watts)/(((p_atm*0.028964)/(8.31447*(20+273.15)))*(($N44/3600)/Cubics)*(1005+1870*((0.622)/(((p_atm)/($E$12*Pvs_Heat_in))-1)))))+Tl_heat)*Celc1+Celc2</f>
        <v>64.237182419495923</v>
      </c>
      <c r="P44" s="254">
        <f>(Tl_cool-(($G44/Watts)/(1006*$N44*kgss)))*Celc1+Celc2</f>
        <v>19.453203333427858</v>
      </c>
      <c r="Q44" s="220">
        <v>1</v>
      </c>
      <c r="R44" s="113">
        <f t="shared" si="4"/>
        <v>0.85389999999999999</v>
      </c>
      <c r="S44" s="194">
        <v>0</v>
      </c>
      <c r="T44" s="194">
        <v>0</v>
      </c>
      <c r="U44" s="113">
        <v>0.85389999999999999</v>
      </c>
      <c r="V44" s="194">
        <v>0</v>
      </c>
      <c r="W44" s="171">
        <f>(H44-G44)/H44</f>
        <v>0</v>
      </c>
      <c r="X44" s="123">
        <f t="shared" si="5"/>
        <v>5304.8649617194806</v>
      </c>
      <c r="Y44" s="124">
        <f t="shared" si="6"/>
        <v>1.8466258544050462</v>
      </c>
      <c r="Z44" s="124">
        <f t="shared" si="7"/>
        <v>893.77309957683349</v>
      </c>
      <c r="AA44" s="124">
        <f t="shared" si="8"/>
        <v>1.8466258544050462</v>
      </c>
      <c r="AB44" s="125">
        <f t="shared" si="9"/>
        <v>47</v>
      </c>
      <c r="AC44" s="125">
        <f t="shared" si="10"/>
        <v>13.5</v>
      </c>
      <c r="AD44" s="124">
        <f t="shared" si="11"/>
        <v>352</v>
      </c>
      <c r="AE44" s="72"/>
      <c r="AF44" s="73"/>
      <c r="AG44" s="73"/>
      <c r="AH44" s="73"/>
      <c r="AI44" s="74"/>
      <c r="AJ44" s="74"/>
      <c r="AK44" s="75"/>
      <c r="AL44" s="72"/>
      <c r="AM44" s="73"/>
      <c r="AN44" s="73"/>
      <c r="AO44" s="73"/>
      <c r="AP44" s="74"/>
      <c r="AQ44" s="74"/>
      <c r="AR44" s="75"/>
      <c r="AS44" s="73"/>
      <c r="AT44" s="73"/>
      <c r="AU44" s="73"/>
      <c r="AV44" s="73"/>
      <c r="AW44" s="182"/>
      <c r="AX44" s="183"/>
      <c r="AY44" s="183"/>
      <c r="AZ44" s="183"/>
      <c r="BA44" s="184"/>
      <c r="BB44" s="184"/>
      <c r="BC44" s="185"/>
      <c r="BD44" s="72">
        <v>3695.3841299999995</v>
      </c>
      <c r="BE44" s="73">
        <v>1.8570199999999999</v>
      </c>
      <c r="BF44" s="73">
        <v>871.51653124780432</v>
      </c>
      <c r="BG44" s="73">
        <v>1.9273120813486124</v>
      </c>
      <c r="BH44" s="74">
        <v>47</v>
      </c>
      <c r="BI44" s="74">
        <v>13.5</v>
      </c>
      <c r="BJ44" s="75">
        <v>352</v>
      </c>
      <c r="BK44" s="72">
        <v>5304.8649617194806</v>
      </c>
      <c r="BL44" s="73">
        <v>1.8466258544050462</v>
      </c>
      <c r="BM44" s="73">
        <v>893.77309957683349</v>
      </c>
      <c r="BN44" s="73">
        <f>BL44</f>
        <v>1.8466258544050462</v>
      </c>
      <c r="BO44" s="74">
        <f t="shared" si="42"/>
        <v>47</v>
      </c>
      <c r="BP44" s="74">
        <f t="shared" si="42"/>
        <v>13.5</v>
      </c>
      <c r="BQ44" s="75">
        <f t="shared" si="42"/>
        <v>352</v>
      </c>
      <c r="BR44" s="73"/>
      <c r="BS44" s="72"/>
      <c r="BT44" s="73"/>
      <c r="BU44" s="73"/>
      <c r="BV44" s="73"/>
      <c r="BW44" s="74"/>
      <c r="BX44" s="74"/>
      <c r="BY44" s="75"/>
      <c r="BZ44" s="72"/>
      <c r="CA44" s="73"/>
      <c r="CB44" s="73"/>
      <c r="CC44" s="73"/>
      <c r="CD44" s="74"/>
      <c r="CE44" s="74"/>
      <c r="CF44" s="75"/>
      <c r="CW44" s="49">
        <f t="shared" si="3"/>
        <v>1</v>
      </c>
      <c r="CX44" s="49">
        <f t="shared" si="17"/>
        <v>893.77309957683349</v>
      </c>
      <c r="CY44" s="263">
        <f t="shared" si="18"/>
        <v>0</v>
      </c>
      <c r="CZ44" s="49">
        <f t="shared" si="19"/>
        <v>1</v>
      </c>
    </row>
    <row r="45" spans="2:104" ht="15" x14ac:dyDescent="0.25">
      <c r="B45" s="33">
        <v>1</v>
      </c>
      <c r="C45" s="3">
        <v>10</v>
      </c>
      <c r="D45" s="27">
        <f>(X45*($T$11^$Q45))*Watts*CF_Altit</f>
        <v>6342.6875197925201</v>
      </c>
      <c r="E45" s="3">
        <f>ROUND(((D45/Watts)/(($S$9-$S$10)*1.163))*$E$14,IF($X$4=1,0,IF($X$4=2,2)))</f>
        <v>545</v>
      </c>
      <c r="F45" s="30">
        <f>($Y$42*(E45/$E$14)^$Y$44)*$F$14</f>
        <v>6.0993434733731355</v>
      </c>
      <c r="G45" s="4">
        <f>(Z45*($W$11^R45))*Watts*CF_Altit</f>
        <v>1081.7233361189615</v>
      </c>
      <c r="H45" s="4">
        <f>((G45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45+0.001448)*(Tl_cool-Tavg_cold)+(0.016908*$C45-0.033574))*1.039&gt;1,1,1/(1+((2258*((0.622/(($Z$11/(1*611*EXP(17.27*(Tavg_cold/(Tavg_cold+237.3))))))-1)*1000-(0.622/(($Z$11/(RH*611*EXP(17.27*(Tl_cool/(Tl_cool+237.3))))))-1)*1000))/(1005*(Tavg_cold-Tl_cool))))*1.039+((-0.000729*$C45+0.001448)*(Tl_cool-Tavg_cold)+(0.016908*$C45-0.033574))*1.039))))*Watts</f>
        <v>1081.7233361189615</v>
      </c>
      <c r="I45" s="3">
        <f>ROUND(((H45/Watts)/((Tr_cool-Tv_cool)*1.163))*$I$14,IF($X$4=1,0,IF($X$4=2,2)))</f>
        <v>465</v>
      </c>
      <c r="J45" s="5">
        <f>($AA$42*(I45/$I$14)^$AA$44)*$J$14</f>
        <v>4.5495678865252076</v>
      </c>
      <c r="K45" s="59">
        <f>L45-8</f>
        <v>42</v>
      </c>
      <c r="L45" s="53">
        <f t="shared" si="41"/>
        <v>50</v>
      </c>
      <c r="M45" s="46">
        <f t="shared" si="41"/>
        <v>20.100000000000001</v>
      </c>
      <c r="N45" s="64">
        <f>AD45*Cubics</f>
        <v>410</v>
      </c>
      <c r="O45" s="253">
        <f>((($D45/Watts)/(((p_atm*0.028964)/(8.31447*(20+273.15)))*(($N45/3600)/Cubics)*(1005+1870*((0.622)/(((p_atm)/($E$12*Pvs_Heat_in))-1)))))+Tl_heat)*Celc1+Celc2</f>
        <v>65.409346021797717</v>
      </c>
      <c r="P45" s="254">
        <f>(Tl_cool-(($G45/Watts)/(1006*$N45*kgss)))*Celc1+Celc2</f>
        <v>19.158297258769181</v>
      </c>
      <c r="Q45" s="220">
        <v>1</v>
      </c>
      <c r="R45" s="113">
        <f t="shared" si="4"/>
        <v>0.77110000000000001</v>
      </c>
      <c r="S45" s="194">
        <v>0</v>
      </c>
      <c r="T45" s="194">
        <v>0</v>
      </c>
      <c r="U45" s="113">
        <v>0.77110000000000001</v>
      </c>
      <c r="V45" s="194">
        <v>0</v>
      </c>
      <c r="W45" s="171">
        <f>(H45-G45)/H45</f>
        <v>0</v>
      </c>
      <c r="X45" s="127">
        <f t="shared" si="5"/>
        <v>6342.6875197925201</v>
      </c>
      <c r="Y45" s="128">
        <f t="shared" si="6"/>
        <v>0</v>
      </c>
      <c r="Z45" s="129">
        <f t="shared" si="7"/>
        <v>1081.7233361189615</v>
      </c>
      <c r="AA45" s="128">
        <f t="shared" si="8"/>
        <v>0</v>
      </c>
      <c r="AB45" s="130">
        <f t="shared" si="9"/>
        <v>50</v>
      </c>
      <c r="AC45" s="130">
        <f t="shared" si="10"/>
        <v>20.100000000000001</v>
      </c>
      <c r="AD45" s="129">
        <f t="shared" si="11"/>
        <v>410</v>
      </c>
      <c r="AE45" s="76"/>
      <c r="AF45" s="77"/>
      <c r="AG45" s="78"/>
      <c r="AH45" s="77"/>
      <c r="AI45" s="79"/>
      <c r="AJ45" s="79"/>
      <c r="AK45" s="80"/>
      <c r="AL45" s="76"/>
      <c r="AM45" s="77"/>
      <c r="AN45" s="78"/>
      <c r="AO45" s="77"/>
      <c r="AP45" s="79"/>
      <c r="AQ45" s="79"/>
      <c r="AR45" s="80"/>
      <c r="AS45" s="73"/>
      <c r="AT45" s="73"/>
      <c r="AU45" s="73"/>
      <c r="AV45" s="73"/>
      <c r="AW45" s="186"/>
      <c r="AX45" s="187"/>
      <c r="AY45" s="188"/>
      <c r="AZ45" s="187"/>
      <c r="BA45" s="189"/>
      <c r="BB45" s="189"/>
      <c r="BC45" s="190"/>
      <c r="BD45" s="76">
        <v>4194.9571499999984</v>
      </c>
      <c r="BE45" s="77"/>
      <c r="BF45" s="78">
        <v>1065.1975312361303</v>
      </c>
      <c r="BG45" s="77"/>
      <c r="BH45" s="79">
        <v>50</v>
      </c>
      <c r="BI45" s="79">
        <v>20.100000000000001</v>
      </c>
      <c r="BJ45" s="80">
        <v>410</v>
      </c>
      <c r="BK45" s="76">
        <v>6342.6875197925201</v>
      </c>
      <c r="BL45" s="77"/>
      <c r="BM45" s="78">
        <v>1081.7233361189615</v>
      </c>
      <c r="BN45" s="77"/>
      <c r="BO45" s="79">
        <f t="shared" si="42"/>
        <v>50</v>
      </c>
      <c r="BP45" s="79">
        <f t="shared" si="42"/>
        <v>20.100000000000001</v>
      </c>
      <c r="BQ45" s="80">
        <f t="shared" si="42"/>
        <v>410</v>
      </c>
      <c r="BR45" s="73"/>
      <c r="BS45" s="76"/>
      <c r="BT45" s="77"/>
      <c r="BU45" s="78"/>
      <c r="BV45" s="77"/>
      <c r="BW45" s="79"/>
      <c r="BX45" s="79"/>
      <c r="BY45" s="80"/>
      <c r="BZ45" s="76"/>
      <c r="CA45" s="77"/>
      <c r="CB45" s="78"/>
      <c r="CC45" s="77"/>
      <c r="CD45" s="79"/>
      <c r="CE45" s="79"/>
      <c r="CF45" s="80"/>
      <c r="CW45" s="49">
        <f t="shared" si="3"/>
        <v>1</v>
      </c>
      <c r="CX45" s="49">
        <f t="shared" si="17"/>
        <v>1081.7233361189615</v>
      </c>
      <c r="CY45" s="263">
        <f t="shared" si="18"/>
        <v>0</v>
      </c>
      <c r="CZ45" s="49">
        <f t="shared" si="19"/>
        <v>1</v>
      </c>
    </row>
    <row r="46" spans="2:104" ht="15" x14ac:dyDescent="0.25">
      <c r="B46" s="326" t="str">
        <f>IF($S$7=1,NL!A45,IF(cal!$S$7=2,EN!A45,IF(cal!$S$7=3,DE!A45,IF(cal!$S$7=4,FR!A45,IF(cal!$S$7=5,NR!A45,IF(cal!$S$7=6,SP!A45,IF(cal!$S$7=7,SW!A45,IF(cal!$S$7=8,TS!A45,IF(cal!$S$7=9,ExtraTaal1!A45,IF(cal!$S$7=10,ExtraTaal2!A45,IF(cal!$S$7=11,ExtraTaal3!A45,)))))))))))</f>
        <v>Clima Canal height 13 cm width 32 cm length 200 cm (Type 6)</v>
      </c>
      <c r="C46" s="327">
        <f>IF($S$7=1,NL!B45,IF(cal!$S$7=2,EN!B45,IF(cal!$S$7=3,DE!B45,IF(cal!$S$7=4,FR!B45,IF(cal!$S$7=5,NR!B45,IF(cal!$S$7=6,SP!B45,IF(cal!$S$7=7,SW!B45,IF(cal!$S$7=8,TS!B45,IF(cal!$S$7=9,ExtraTaal1!B45,IF(cal!$S$7=10,ExtraTaal2!B45,IF(cal!$S$7=11,ExtraTaal3!B45,)))))))))))</f>
        <v>0</v>
      </c>
      <c r="D46" s="327">
        <f>IF($S$7=1,NL!C45,IF(cal!$S$7=2,EN!C45,IF(cal!$S$7=3,DE!C45,IF(cal!$S$7=4,FR!C45,IF(cal!$S$7=5,NR!C45,IF(cal!$S$7=6,SP!C45,IF(cal!$S$7=7,SW!C45,IF(cal!$S$7=8,TS!C45,IF(cal!$S$7=9,ExtraTaal1!C45,IF(cal!$S$7=10,ExtraTaal2!C45,IF(cal!$S$7=11,ExtraTaal3!C45,)))))))))))</f>
        <v>0</v>
      </c>
      <c r="E46" s="327">
        <f>IF($S$7=1,NL!D45,IF(cal!$S$7=2,EN!D45,IF(cal!$S$7=3,DE!D45,IF(cal!$S$7=4,FR!D45,IF(cal!$S$7=5,NR!D45,IF(cal!$S$7=6,SP!D45,IF(cal!$S$7=7,SW!D45,IF(cal!$S$7=8,TS!D45,IF(cal!$S$7=9,ExtraTaal1!D45,IF(cal!$S$7=10,ExtraTaal2!D45,IF(cal!$S$7=11,ExtraTaal3!D45,)))))))))))</f>
        <v>0</v>
      </c>
      <c r="F46" s="327">
        <f>IF($S$7=1,NL!E45,IF(cal!$S$7=2,EN!E45,IF(cal!$S$7=3,DE!E45,IF(cal!$S$7=4,FR!E45,IF(cal!$S$7=5,NR!E45,IF(cal!$S$7=6,SP!E45,IF(cal!$S$7=7,SW!E45,IF(cal!$S$7=8,TS!E45,IF(cal!$S$7=9,ExtraTaal1!E45,IF(cal!$S$7=10,ExtraTaal2!E45,IF(cal!$S$7=11,ExtraTaal3!E45,)))))))))))</f>
        <v>0</v>
      </c>
      <c r="G46" s="327">
        <f>IF($S$7=1,NL!F45,IF(cal!$S$7=2,EN!F45,IF(cal!$S$7=3,DE!F45,IF(cal!$S$7=4,FR!F45,IF(cal!$S$7=5,NR!F45,IF(cal!$S$7=6,SP!F45,IF(cal!$S$7=7,SW!F45,IF(cal!$S$7=8,TS!F45,IF(cal!$S$7=9,ExtraTaal1!F45,IF(cal!$S$7=10,ExtraTaal2!F45,IF(cal!$S$7=11,ExtraTaal3!F45,)))))))))))</f>
        <v>0</v>
      </c>
      <c r="H46" s="327">
        <f>IF($S$7=1,NL!G45,IF(cal!$S$7=2,EN!G45,IF(cal!$S$7=3,DE!G45,IF(cal!$S$7=4,FR!G45,IF(cal!$S$7=5,NR!G45,IF(cal!$S$7=6,SP!G45,IF(cal!$S$7=7,SW!G45,IF(cal!$S$7=8,TS!G45,IF(cal!$S$7=9,ExtraTaal1!G45,IF(cal!$S$7=10,ExtraTaal2!G45,IF(cal!$S$7=11,ExtraTaal3!G45,)))))))))))</f>
        <v>0</v>
      </c>
      <c r="I46" s="327">
        <f>IF($S$7=1,NL!H45,IF(cal!$S$7=2,EN!H45,IF(cal!$S$7=3,DE!H45,IF(cal!$S$7=4,FR!H45,IF(cal!$S$7=5,NR!H45,IF(cal!$S$7=6,SP!H45,IF(cal!$S$7=7,SW!H45,IF(cal!$S$7=8,TS!H45,IF(cal!$S$7=9,ExtraTaal1!H45,IF(cal!$S$7=10,ExtraTaal2!H45,IF(cal!$S$7=11,ExtraTaal3!H45,)))))))))))</f>
        <v>0</v>
      </c>
      <c r="J46" s="327">
        <f>IF($S$7=1,NL!I45,IF(cal!$S$7=2,EN!I45,IF(cal!$S$7=3,DE!I45,IF(cal!$S$7=4,FR!I45,IF(cal!$S$7=5,NR!I45,IF(cal!$S$7=6,SP!I45,IF(cal!$S$7=7,SW!I45,IF(cal!$S$7=8,TS!I45,IF(cal!$S$7=9,ExtraTaal1!I45,IF(cal!$S$7=10,ExtraTaal2!I45,IF(cal!$S$7=11,ExtraTaal3!I45,)))))))))))</f>
        <v>0</v>
      </c>
      <c r="K46" s="327">
        <f>IF($S$7=1,NL!J45,IF(cal!$S$7=2,EN!J45,IF(cal!$S$7=3,DE!J45,IF(cal!$S$7=4,FR!J45,IF(cal!$S$7=5,NR!J45,IF(cal!$S$7=6,SP!J45,IF(cal!$S$7=7,SW!J45,IF(cal!$S$7=8,TS!J45,IF(cal!$S$7=9,ExtraTaal1!J45,IF(cal!$S$7=10,ExtraTaal2!J45,IF(cal!$S$7=11,ExtraTaal3!J45,)))))))))))</f>
        <v>0</v>
      </c>
      <c r="L46" s="327">
        <f>IF($S$7=1,NL!K45,IF(cal!$S$7=2,EN!K45,IF(cal!$S$7=3,DE!K45,IF(cal!$S$7=4,FR!K45,IF(cal!$S$7=5,NR!K45,IF(cal!$S$7=6,SP!K45,IF(cal!$S$7=7,SW!K45,IF(cal!$S$7=8,TS!K45,IF(cal!$S$7=9,ExtraTaal1!K45,IF(cal!$S$7=10,ExtraTaal2!K45,IF(cal!$S$7=11,ExtraTaal3!K45,)))))))))))</f>
        <v>0</v>
      </c>
      <c r="M46" s="327">
        <f>IF($S$7=1,NL!L45,IF(cal!$S$7=2,EN!L45,IF(cal!$S$7=3,DE!L45,IF(cal!$S$7=4,FR!L45,IF(cal!$S$7=5,NR!L45,IF(cal!$S$7=6,SP!L45,IF(cal!$S$7=7,SW!L45,IF(cal!$S$7=8,TS!L45,IF(cal!$S$7=9,ExtraTaal1!L45,IF(cal!$S$7=10,ExtraTaal2!L45,IF(cal!$S$7=11,ExtraTaal3!L45,)))))))))))</f>
        <v>0</v>
      </c>
      <c r="N46" s="327">
        <f>IF($S$7=1,NL!M45,IF(cal!$S$7=2,EN!M45,IF(cal!$S$7=3,DE!M45,IF(cal!$S$7=4,FR!M45,IF(cal!$S$7=5,NR!M45,IF(cal!$S$7=6,SP!M45,IF(cal!$S$7=7,SW!M45,IF(cal!$S$7=8,TS!M45,IF(cal!$S$7=9,ExtraTaal1!M45,IF(cal!$S$7=10,ExtraTaal2!M45,IF(cal!$S$7=11,ExtraTaal3!M45,)))))))))))</f>
        <v>0</v>
      </c>
      <c r="O46" s="327">
        <f>IF($S$7=1,NL!N45,IF(cal!$S$7=2,EN!N45,IF(cal!$S$7=3,DE!N45,IF(cal!$S$7=4,FR!N45,IF(cal!$S$7=5,NR!N45,IF(cal!$S$7=6,SP!N45,IF(cal!$S$7=7,SW!N45,IF(cal!$S$7=8,TS!N45,IF(cal!$S$7=9,ExtraTaal1!N45,IF(cal!$S$7=10,ExtraTaal2!N45,IF(cal!$S$7=11,ExtraTaal3!N45,)))))))))))</f>
        <v>0</v>
      </c>
      <c r="P46" s="328">
        <f>IF($S$7=1,NL!O45,IF(cal!$S$7=2,EN!O45,IF(cal!$S$7=3,DE!O45,IF(cal!$S$7=4,FR!O45,IF(cal!$S$7=5,NR!O45,IF(cal!$S$7=6,SP!O45,IF(cal!$S$7=7,SW!O45,IF(cal!$S$7=8,TS!O45,IF(cal!$S$7=9,ExtraTaal1!O45,IF(cal!$S$7=10,ExtraTaal2!O45,IF(cal!$S$7=11,ExtraTaal3!O45,)))))))))))</f>
        <v>0</v>
      </c>
      <c r="Q46" s="208" t="s">
        <v>11</v>
      </c>
      <c r="R46" s="113" t="str">
        <f t="shared" si="4"/>
        <v>n-value</v>
      </c>
      <c r="S46" s="195" t="s">
        <v>11</v>
      </c>
      <c r="T46" s="195" t="s">
        <v>11</v>
      </c>
      <c r="U46" s="196" t="s">
        <v>11</v>
      </c>
      <c r="V46" s="195" t="s">
        <v>11</v>
      </c>
      <c r="W46" s="171"/>
      <c r="X46" s="132" t="str">
        <f t="shared" si="5"/>
        <v>H</v>
      </c>
      <c r="Y46" s="133">
        <f t="shared" si="6"/>
        <v>13</v>
      </c>
      <c r="Z46" s="132" t="str">
        <f t="shared" si="7"/>
        <v>B</v>
      </c>
      <c r="AA46" s="133">
        <f t="shared" si="8"/>
        <v>32</v>
      </c>
      <c r="AB46" s="132" t="str">
        <f t="shared" si="9"/>
        <v>L</v>
      </c>
      <c r="AC46" s="134">
        <f t="shared" si="10"/>
        <v>170</v>
      </c>
      <c r="AD46" s="135">
        <f t="shared" si="11"/>
        <v>0</v>
      </c>
      <c r="AE46" s="83"/>
      <c r="AF46" s="84"/>
      <c r="AG46" s="83"/>
      <c r="AH46" s="84"/>
      <c r="AI46" s="83"/>
      <c r="AJ46" s="84"/>
      <c r="AK46" s="82"/>
      <c r="AL46" s="83"/>
      <c r="AM46" s="84"/>
      <c r="AN46" s="83"/>
      <c r="AO46" s="84"/>
      <c r="AP46" s="83"/>
      <c r="AQ46" s="84"/>
      <c r="AR46" s="82"/>
      <c r="AS46" s="86"/>
      <c r="AT46" s="86"/>
      <c r="AU46" s="86"/>
      <c r="AV46" s="86"/>
      <c r="AW46" s="191"/>
      <c r="AX46" s="192"/>
      <c r="AY46" s="191"/>
      <c r="AZ46" s="192"/>
      <c r="BA46" s="191"/>
      <c r="BB46" s="192"/>
      <c r="BC46" s="193"/>
      <c r="BD46" s="83" t="s">
        <v>61</v>
      </c>
      <c r="BE46" s="84">
        <f>BE22</f>
        <v>13</v>
      </c>
      <c r="BF46" s="83" t="s">
        <v>62</v>
      </c>
      <c r="BG46" s="84">
        <f>BG22</f>
        <v>32</v>
      </c>
      <c r="BH46" s="83" t="s">
        <v>63</v>
      </c>
      <c r="BI46" s="84">
        <f>IF($X$4=1,170,170/2.54)</f>
        <v>170</v>
      </c>
      <c r="BJ46" s="82"/>
      <c r="BK46" s="83" t="s">
        <v>61</v>
      </c>
      <c r="BL46" s="84">
        <f>BL22</f>
        <v>13</v>
      </c>
      <c r="BM46" s="83" t="s">
        <v>62</v>
      </c>
      <c r="BN46" s="84">
        <f>BN22</f>
        <v>32</v>
      </c>
      <c r="BO46" s="83" t="s">
        <v>63</v>
      </c>
      <c r="BP46" s="84">
        <f>IF($X$4=1,170,170/2.54)</f>
        <v>170</v>
      </c>
      <c r="BQ46" s="82"/>
      <c r="BR46" s="86"/>
      <c r="BS46" s="83"/>
      <c r="BT46" s="84"/>
      <c r="BU46" s="83"/>
      <c r="BV46" s="84"/>
      <c r="BW46" s="83"/>
      <c r="BX46" s="84"/>
      <c r="BY46" s="82"/>
      <c r="BZ46" s="83"/>
      <c r="CA46" s="84"/>
      <c r="CB46" s="83"/>
      <c r="CC46" s="84"/>
      <c r="CD46" s="83"/>
      <c r="CE46" s="84"/>
      <c r="CF46" s="82"/>
      <c r="CW46" s="49">
        <f t="shared" si="3"/>
        <v>1</v>
      </c>
      <c r="CX46" s="49">
        <f t="shared" si="17"/>
        <v>0</v>
      </c>
      <c r="CY46" s="263">
        <f t="shared" si="18"/>
        <v>0</v>
      </c>
      <c r="CZ46" s="49">
        <f t="shared" si="19"/>
        <v>1</v>
      </c>
    </row>
    <row r="47" spans="2:104" ht="15" x14ac:dyDescent="0.25">
      <c r="B47" s="33">
        <v>0.2</v>
      </c>
      <c r="C47" s="3">
        <v>2</v>
      </c>
      <c r="D47" s="27">
        <f>(X47*($T$11^$Q47))*Watts*CF_Altit</f>
        <v>1526.5573511005555</v>
      </c>
      <c r="E47" s="3">
        <f>ROUND(((D47/Watts)/(($S$9-$S$10)*1.163))*$E$14,IF($X$4=1,0,IF($X$4=2,2)))</f>
        <v>131</v>
      </c>
      <c r="F47" s="30">
        <f>($Y$48*(E47/$E$14)^$Y$50)*$F$14</f>
        <v>0.49942474242827456</v>
      </c>
      <c r="G47" s="4">
        <f>(Z47*($W$11^R47))*Watts*CF_Altit</f>
        <v>328.49527786542183</v>
      </c>
      <c r="H47" s="4">
        <f>((G47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47+0.001448)*(Tl_cool-Tavg_cold)+(0.016908*$C47-0.033574))*1.039&gt;1,1,1/(1+((2258*((0.622/(($Z$11/(1*611*EXP(17.27*(Tavg_cold/(Tavg_cold+237.3))))))-1)*1000-(0.622/(($Z$11/(RH*611*EXP(17.27*(Tl_cool/(Tl_cool+237.3))))))-1)*1000))/(1005*(Tavg_cold-Tl_cool))))*1.039+((-0.000729*$C47+0.001448)*(Tl_cool-Tavg_cold)+(0.016908*$C47-0.033574))*1.039))))*Watts</f>
        <v>328.49527786542183</v>
      </c>
      <c r="I47" s="3">
        <f>ROUND(((H47/Watts)/((Tr_cool-Tv_cool)*1.163))*$I$14,IF($X$4=1,0,IF($X$4=2,2)))</f>
        <v>141</v>
      </c>
      <c r="J47" s="5">
        <f>($AA$48*(I47/$I$14)^$AA$50)*$J$14</f>
        <v>0.57160742723074187</v>
      </c>
      <c r="K47" s="59">
        <f>L47-8</f>
        <v>23</v>
      </c>
      <c r="L47" s="53">
        <f t="shared" ref="L47:M51" si="43">AB47</f>
        <v>31</v>
      </c>
      <c r="M47" s="46">
        <f t="shared" si="43"/>
        <v>2.7</v>
      </c>
      <c r="N47" s="64">
        <f>AD47*Cubics</f>
        <v>93</v>
      </c>
      <c r="O47" s="251">
        <f>((($D47/Watts)/(((p_atm*0.028964)/(8.31447*(20+273.15)))*(($N47/3600)/Cubics)*(1005+1870*((0.622)/(((p_atm)/($E$12*Pvs_Heat_in))-1)))))+Tl_heat)*Celc1+Celc2</f>
        <v>68.182126610564907</v>
      </c>
      <c r="P47" s="252">
        <f>(Tl_cool-(($G47/Watts)/(1006*$N47*kgss)))*Celc1+Celc2</f>
        <v>16.501573416682767</v>
      </c>
      <c r="Q47" s="220">
        <v>1</v>
      </c>
      <c r="R47" s="113">
        <f t="shared" si="4"/>
        <v>0.78069999999999995</v>
      </c>
      <c r="S47" s="194">
        <v>0</v>
      </c>
      <c r="T47" s="194">
        <v>0</v>
      </c>
      <c r="U47" s="113">
        <v>0.78069999999999995</v>
      </c>
      <c r="V47" s="194">
        <v>0</v>
      </c>
      <c r="W47" s="171">
        <f>(H47-G47)/H47</f>
        <v>0</v>
      </c>
      <c r="X47" s="118">
        <f t="shared" si="5"/>
        <v>1526.5573511005555</v>
      </c>
      <c r="Y47" s="119" t="str">
        <f t="shared" si="6"/>
        <v>a</v>
      </c>
      <c r="Z47" s="120">
        <f t="shared" si="7"/>
        <v>328.49527786542183</v>
      </c>
      <c r="AA47" s="119" t="str">
        <f t="shared" si="8"/>
        <v>a</v>
      </c>
      <c r="AB47" s="121">
        <f t="shared" si="9"/>
        <v>31</v>
      </c>
      <c r="AC47" s="121">
        <f t="shared" si="10"/>
        <v>2.7</v>
      </c>
      <c r="AD47" s="122">
        <f t="shared" si="11"/>
        <v>93</v>
      </c>
      <c r="AE47" s="67"/>
      <c r="AF47" s="68"/>
      <c r="AG47" s="69"/>
      <c r="AH47" s="68"/>
      <c r="AI47" s="70"/>
      <c r="AJ47" s="70"/>
      <c r="AK47" s="71"/>
      <c r="AL47" s="67"/>
      <c r="AM47" s="68"/>
      <c r="AN47" s="69"/>
      <c r="AO47" s="68"/>
      <c r="AP47" s="70"/>
      <c r="AQ47" s="70"/>
      <c r="AR47" s="71"/>
      <c r="AS47" s="73"/>
      <c r="AT47" s="73"/>
      <c r="AU47" s="73"/>
      <c r="AV47" s="73"/>
      <c r="AW47" s="177"/>
      <c r="AX47" s="178"/>
      <c r="AY47" s="179"/>
      <c r="AZ47" s="178"/>
      <c r="BA47" s="180"/>
      <c r="BB47" s="180"/>
      <c r="BC47" s="181"/>
      <c r="BD47" s="67">
        <v>1309.5990299999999</v>
      </c>
      <c r="BE47" s="68" t="s">
        <v>49</v>
      </c>
      <c r="BF47" s="69">
        <v>315.40129920182284</v>
      </c>
      <c r="BG47" s="68" t="s">
        <v>49</v>
      </c>
      <c r="BH47" s="70">
        <v>31</v>
      </c>
      <c r="BI47" s="70">
        <v>2.7</v>
      </c>
      <c r="BJ47" s="71">
        <v>93</v>
      </c>
      <c r="BK47" s="67">
        <v>1526.5573511005555</v>
      </c>
      <c r="BL47" s="68" t="s">
        <v>49</v>
      </c>
      <c r="BM47" s="69">
        <v>328.49527786542183</v>
      </c>
      <c r="BN47" s="68" t="s">
        <v>49</v>
      </c>
      <c r="BO47" s="70">
        <f t="shared" ref="BO47:BQ51" si="44">BH47</f>
        <v>31</v>
      </c>
      <c r="BP47" s="70">
        <f t="shared" si="44"/>
        <v>2.7</v>
      </c>
      <c r="BQ47" s="71">
        <f t="shared" si="44"/>
        <v>93</v>
      </c>
      <c r="BR47" s="73"/>
      <c r="BS47" s="67"/>
      <c r="BT47" s="68"/>
      <c r="BU47" s="69"/>
      <c r="BV47" s="68"/>
      <c r="BW47" s="70"/>
      <c r="BX47" s="70"/>
      <c r="BY47" s="71"/>
      <c r="BZ47" s="67"/>
      <c r="CA47" s="68"/>
      <c r="CB47" s="69"/>
      <c r="CC47" s="68"/>
      <c r="CD47" s="70"/>
      <c r="CE47" s="70"/>
      <c r="CF47" s="71"/>
      <c r="CW47" s="49">
        <f t="shared" si="3"/>
        <v>1</v>
      </c>
      <c r="CX47" s="49">
        <f t="shared" si="17"/>
        <v>328.49527786542183</v>
      </c>
      <c r="CY47" s="263">
        <f t="shared" si="18"/>
        <v>0</v>
      </c>
      <c r="CZ47" s="49">
        <f t="shared" si="19"/>
        <v>1</v>
      </c>
    </row>
    <row r="48" spans="2:104" ht="15" x14ac:dyDescent="0.25">
      <c r="B48" s="33">
        <v>0.4</v>
      </c>
      <c r="C48" s="3">
        <v>4</v>
      </c>
      <c r="D48" s="27">
        <f>(X48*($T$11^$Q48))*Watts*CF_Altit</f>
        <v>3376.2428440753456</v>
      </c>
      <c r="E48" s="3">
        <f>ROUND(((D48/Watts)/(($S$9-$S$10)*1.163))*$E$14,IF($X$4=1,0,IF($X$4=2,2)))</f>
        <v>290</v>
      </c>
      <c r="F48" s="30">
        <f>($Y$48*(E48/$E$14)^$Y$50)*$F$14</f>
        <v>2.146920988745705</v>
      </c>
      <c r="G48" s="4">
        <f>(Z48*($W$11^R48))*Watts*CF_Altit</f>
        <v>596.46501011688451</v>
      </c>
      <c r="H48" s="4">
        <f>((G48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48+0.001448)*(Tl_cool-Tavg_cold)+(0.016908*$C48-0.033574))*1.039&gt;1,1,1/(1+((2258*((0.622/(($Z$11/(1*611*EXP(17.27*(Tavg_cold/(Tavg_cold+237.3))))))-1)*1000-(0.622/(($Z$11/(RH*611*EXP(17.27*(Tl_cool/(Tl_cool+237.3))))))-1)*1000))/(1005*(Tavg_cold-Tl_cool))))*1.039+((-0.000729*$C48+0.001448)*(Tl_cool-Tavg_cold)+(0.016908*$C48-0.033574))*1.039))))*Watts</f>
        <v>596.46501011688451</v>
      </c>
      <c r="I48" s="3">
        <f>ROUND(((H48/Watts)/((Tr_cool-Tv_cool)*1.163))*$I$14,IF($X$4=1,0,IF($X$4=2,2)))</f>
        <v>256</v>
      </c>
      <c r="J48" s="5">
        <f>($AA$48*(I48/$I$14)^$AA$50)*$J$14</f>
        <v>1.7077725518332227</v>
      </c>
      <c r="K48" s="59">
        <f>L48-8</f>
        <v>28.5</v>
      </c>
      <c r="L48" s="53">
        <f t="shared" si="43"/>
        <v>36.5</v>
      </c>
      <c r="M48" s="46">
        <f t="shared" si="43"/>
        <v>4.7</v>
      </c>
      <c r="N48" s="64">
        <f>AD48*Cubics</f>
        <v>199</v>
      </c>
      <c r="O48" s="253">
        <f>((($D48/Watts)/(((p_atm*0.028964)/(8.31447*(20+273.15)))*(($N48/3600)/Cubics)*(1005+1870*((0.622)/(((p_atm)/($E$12*Pvs_Heat_in))-1)))))+Tl_heat)*Celc1+Celc2</f>
        <v>69.800807926823623</v>
      </c>
      <c r="P48" s="254">
        <f>(Tl_cool-(($G48/Watts)/(1006*$N48*kgss)))*Celc1+Celc2</f>
        <v>18.091390369527655</v>
      </c>
      <c r="Q48" s="220">
        <v>1</v>
      </c>
      <c r="R48" s="113">
        <f t="shared" si="4"/>
        <v>0.85870000000000002</v>
      </c>
      <c r="S48" s="194">
        <v>0</v>
      </c>
      <c r="T48" s="194">
        <v>0</v>
      </c>
      <c r="U48" s="113">
        <v>0.85870000000000002</v>
      </c>
      <c r="V48" s="194">
        <v>0</v>
      </c>
      <c r="W48" s="171">
        <f>(H48-G48)/H48</f>
        <v>0</v>
      </c>
      <c r="X48" s="123">
        <f t="shared" si="5"/>
        <v>3376.2428440753456</v>
      </c>
      <c r="Y48" s="124">
        <f t="shared" si="6"/>
        <v>6.5019104543708104E-5</v>
      </c>
      <c r="Z48" s="124">
        <f t="shared" si="7"/>
        <v>596.46501011688451</v>
      </c>
      <c r="AA48" s="124">
        <f t="shared" si="8"/>
        <v>6.5019104543708104E-5</v>
      </c>
      <c r="AB48" s="125">
        <f t="shared" si="9"/>
        <v>36.5</v>
      </c>
      <c r="AC48" s="125">
        <f t="shared" si="10"/>
        <v>4.7</v>
      </c>
      <c r="AD48" s="126">
        <f t="shared" si="11"/>
        <v>199</v>
      </c>
      <c r="AE48" s="72"/>
      <c r="AF48" s="73"/>
      <c r="AG48" s="73"/>
      <c r="AH48" s="73"/>
      <c r="AI48" s="74"/>
      <c r="AJ48" s="74"/>
      <c r="AK48" s="75"/>
      <c r="AL48" s="72"/>
      <c r="AM48" s="73"/>
      <c r="AN48" s="73"/>
      <c r="AO48" s="73"/>
      <c r="AP48" s="74"/>
      <c r="AQ48" s="74"/>
      <c r="AR48" s="75"/>
      <c r="AS48" s="73"/>
      <c r="AT48" s="73"/>
      <c r="AU48" s="73"/>
      <c r="AV48" s="73"/>
      <c r="AW48" s="182"/>
      <c r="AX48" s="183"/>
      <c r="AY48" s="183"/>
      <c r="AZ48" s="183"/>
      <c r="BA48" s="184"/>
      <c r="BB48" s="184"/>
      <c r="BC48" s="185"/>
      <c r="BD48" s="72">
        <v>2611.7849699999997</v>
      </c>
      <c r="BE48" s="73">
        <f xml:space="preserve"> 0.0000825244</f>
        <v>8.2524399999999999E-5</v>
      </c>
      <c r="BF48" s="73">
        <v>572.77971087778303</v>
      </c>
      <c r="BG48" s="73">
        <v>1.7821330446923193E-5</v>
      </c>
      <c r="BH48" s="74">
        <v>36.5</v>
      </c>
      <c r="BI48" s="74">
        <v>4.7</v>
      </c>
      <c r="BJ48" s="75">
        <v>199</v>
      </c>
      <c r="BK48" s="72">
        <v>3376.2428440753456</v>
      </c>
      <c r="BL48" s="73">
        <v>6.5019104543708104E-5</v>
      </c>
      <c r="BM48" s="73">
        <v>596.46501011688451</v>
      </c>
      <c r="BN48" s="73">
        <f>BL48</f>
        <v>6.5019104543708104E-5</v>
      </c>
      <c r="BO48" s="74">
        <f t="shared" si="44"/>
        <v>36.5</v>
      </c>
      <c r="BP48" s="74">
        <f t="shared" si="44"/>
        <v>4.7</v>
      </c>
      <c r="BQ48" s="75">
        <f t="shared" si="44"/>
        <v>199</v>
      </c>
      <c r="BR48" s="73"/>
      <c r="BS48" s="72"/>
      <c r="BT48" s="73"/>
      <c r="BU48" s="73"/>
      <c r="BV48" s="73"/>
      <c r="BW48" s="74"/>
      <c r="BX48" s="74"/>
      <c r="BY48" s="75"/>
      <c r="BZ48" s="72"/>
      <c r="CA48" s="73"/>
      <c r="CB48" s="73"/>
      <c r="CC48" s="73"/>
      <c r="CD48" s="74"/>
      <c r="CE48" s="74"/>
      <c r="CF48" s="75"/>
      <c r="CW48" s="49">
        <f t="shared" si="3"/>
        <v>1</v>
      </c>
      <c r="CX48" s="49">
        <f t="shared" si="17"/>
        <v>596.46501011688451</v>
      </c>
      <c r="CY48" s="263">
        <f t="shared" si="18"/>
        <v>0</v>
      </c>
      <c r="CZ48" s="49">
        <f t="shared" si="19"/>
        <v>1</v>
      </c>
    </row>
    <row r="49" spans="2:104" ht="15" x14ac:dyDescent="0.25">
      <c r="B49" s="33">
        <v>0.6</v>
      </c>
      <c r="C49" s="3">
        <v>6</v>
      </c>
      <c r="D49" s="27">
        <f>(X49*($T$11^$Q49))*Watts*CF_Altit</f>
        <v>5033.0468762082064</v>
      </c>
      <c r="E49" s="3">
        <f>ROUND(((D49/Watts)/(($S$9-$S$10)*1.163))*$E$14,IF($X$4=1,0,IF($X$4=2,2)))</f>
        <v>433</v>
      </c>
      <c r="F49" s="30">
        <f>($Y$48*(E49/$E$14)^$Y$50)*$F$14</f>
        <v>4.4801282883913887</v>
      </c>
      <c r="G49" s="4">
        <f>(Z49*($W$11^R49))*Watts*CF_Altit</f>
        <v>851.84024653580707</v>
      </c>
      <c r="H49" s="4">
        <f>((G49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49+0.001448)*(Tl_cool-Tavg_cold)+(0.016908*$C49-0.033574))*1.039&gt;1,1,1/(1+((2258*((0.622/(($Z$11/(1*611*EXP(17.27*(Tavg_cold/(Tavg_cold+237.3))))))-1)*1000-(0.622/(($Z$11/(RH*611*EXP(17.27*(Tl_cool/(Tl_cool+237.3))))))-1)*1000))/(1005*(Tavg_cold-Tl_cool))))*1.039+((-0.000729*$C49+0.001448)*(Tl_cool-Tavg_cold)+(0.016908*$C49-0.033574))*1.039))))*Watts</f>
        <v>851.84024653580707</v>
      </c>
      <c r="I49" s="3">
        <f>ROUND(((H49/Watts)/((Tr_cool-Tv_cool)*1.163))*$I$14,IF($X$4=1,0,IF($X$4=2,2)))</f>
        <v>366</v>
      </c>
      <c r="J49" s="5">
        <f>($AA$48*(I49/$I$14)^$AA$50)*$J$14</f>
        <v>3.2909009123245703</v>
      </c>
      <c r="K49" s="59">
        <f>L49-8</f>
        <v>32.5</v>
      </c>
      <c r="L49" s="53">
        <f t="shared" si="43"/>
        <v>40.5</v>
      </c>
      <c r="M49" s="46">
        <f t="shared" si="43"/>
        <v>8.4</v>
      </c>
      <c r="N49" s="64">
        <f>AD49*Cubics</f>
        <v>307</v>
      </c>
      <c r="O49" s="253">
        <f>((($D49/Watts)/(((p_atm*0.028964)/(8.31447*(20+273.15)))*(($N49/3600)/Cubics)*(1005+1870*((0.622)/(((p_atm)/($E$12*Pvs_Heat_in))-1)))))+Tl_heat)*Celc1+Celc2</f>
        <v>68.122522913436711</v>
      </c>
      <c r="P49" s="254">
        <f>(Tl_cool-(($G49/Watts)/(1006*$N49*kgss)))*Celc1+Celc2</f>
        <v>18.752965472693209</v>
      </c>
      <c r="Q49" s="220">
        <v>1</v>
      </c>
      <c r="R49" s="113">
        <f t="shared" si="4"/>
        <v>0.8831</v>
      </c>
      <c r="S49" s="194">
        <v>0</v>
      </c>
      <c r="T49" s="194">
        <v>0</v>
      </c>
      <c r="U49" s="113">
        <v>0.8831</v>
      </c>
      <c r="V49" s="194">
        <v>0</v>
      </c>
      <c r="W49" s="171">
        <f>(H49-G49)/H49</f>
        <v>0</v>
      </c>
      <c r="X49" s="123">
        <f t="shared" si="5"/>
        <v>5033.0468762082064</v>
      </c>
      <c r="Y49" s="119" t="str">
        <f t="shared" si="6"/>
        <v>b</v>
      </c>
      <c r="Z49" s="124">
        <f t="shared" si="7"/>
        <v>851.84024653580707</v>
      </c>
      <c r="AA49" s="119" t="str">
        <f t="shared" si="8"/>
        <v>b</v>
      </c>
      <c r="AB49" s="125">
        <f t="shared" si="9"/>
        <v>40.5</v>
      </c>
      <c r="AC49" s="125">
        <f t="shared" si="10"/>
        <v>8.4</v>
      </c>
      <c r="AD49" s="126">
        <f t="shared" si="11"/>
        <v>307</v>
      </c>
      <c r="AE49" s="72"/>
      <c r="AF49" s="68"/>
      <c r="AG49" s="73"/>
      <c r="AH49" s="68"/>
      <c r="AI49" s="74"/>
      <c r="AJ49" s="74"/>
      <c r="AK49" s="75"/>
      <c r="AL49" s="72"/>
      <c r="AM49" s="68"/>
      <c r="AN49" s="73"/>
      <c r="AO49" s="68"/>
      <c r="AP49" s="74"/>
      <c r="AQ49" s="74"/>
      <c r="AR49" s="75"/>
      <c r="AS49" s="73"/>
      <c r="AT49" s="73"/>
      <c r="AU49" s="73"/>
      <c r="AV49" s="73"/>
      <c r="AW49" s="182"/>
      <c r="AX49" s="178"/>
      <c r="AY49" s="183"/>
      <c r="AZ49" s="178"/>
      <c r="BA49" s="184"/>
      <c r="BB49" s="184"/>
      <c r="BC49" s="185"/>
      <c r="BD49" s="72">
        <v>3683.8544699999998</v>
      </c>
      <c r="BE49" s="68" t="s">
        <v>50</v>
      </c>
      <c r="BF49" s="73">
        <v>823.43359206523041</v>
      </c>
      <c r="BG49" s="68" t="s">
        <v>50</v>
      </c>
      <c r="BH49" s="74">
        <v>40.5</v>
      </c>
      <c r="BI49" s="74">
        <v>8.4</v>
      </c>
      <c r="BJ49" s="75">
        <v>307</v>
      </c>
      <c r="BK49" s="72">
        <v>5033.0468762082064</v>
      </c>
      <c r="BL49" s="68" t="s">
        <v>50</v>
      </c>
      <c r="BM49" s="73">
        <v>851.84024653580707</v>
      </c>
      <c r="BN49" s="68" t="s">
        <v>50</v>
      </c>
      <c r="BO49" s="74">
        <f t="shared" si="44"/>
        <v>40.5</v>
      </c>
      <c r="BP49" s="74">
        <f t="shared" si="44"/>
        <v>8.4</v>
      </c>
      <c r="BQ49" s="75">
        <f t="shared" si="44"/>
        <v>307</v>
      </c>
      <c r="BR49" s="73"/>
      <c r="BS49" s="72"/>
      <c r="BT49" s="68"/>
      <c r="BU49" s="73"/>
      <c r="BV49" s="68"/>
      <c r="BW49" s="74"/>
      <c r="BX49" s="74"/>
      <c r="BY49" s="75"/>
      <c r="BZ49" s="72"/>
      <c r="CA49" s="68"/>
      <c r="CB49" s="73"/>
      <c r="CC49" s="68"/>
      <c r="CD49" s="74"/>
      <c r="CE49" s="74"/>
      <c r="CF49" s="75"/>
      <c r="CW49" s="49">
        <f t="shared" ref="CW49:CW71" si="45">IF((237.3*LN((RH*EXP(17.27*(Tl_cool/(Tl_cool+237.3))))))/(17.27-LN((RH*EXP(17.27*(Tl_cool/(Tl_cool+237.3))))))&lt;((Tv_cool+Tr_cool)/2),1,IF(1/(1+((2258*((0.622/((101325/(1*611*EXP(17.27*(((Tv_cool+Tr_cool)/2)/(((Tv_cool+Tr_cool)/2)+237.3))))))-1)*1000-(0.622/((101325/(RH*611*EXP(17.27*(Tl_cool/(Tl_cool+237.3))))))-1)*1000))/(1005*(((Tv_cool+Tr_cool)/2)-Tl_cool))))&gt;1,1,1/(1+((2258*((0.622/((101325/(1*611*EXP(17.27*(((Tv_cool+Tr_cool)/2)/(((Tv_cool+Tr_cool)/2)+237.3))))))-1)*1000-(0.622/((101325/(RH*611*EXP(17.27*(Tl_cool/(Tl_cool+237.3))))))-1)*1000))/(1005*(((Tv_cool+Tr_cool)/2)-Tl_cool))))))</f>
        <v>1</v>
      </c>
      <c r="CX49" s="49">
        <f t="shared" si="17"/>
        <v>851.84024653580707</v>
      </c>
      <c r="CY49" s="263">
        <f t="shared" si="18"/>
        <v>0</v>
      </c>
      <c r="CZ49" s="49">
        <f t="shared" si="19"/>
        <v>1</v>
      </c>
    </row>
    <row r="50" spans="2:104" ht="15" x14ac:dyDescent="0.25">
      <c r="B50" s="33">
        <v>0.8</v>
      </c>
      <c r="C50" s="3">
        <v>8</v>
      </c>
      <c r="D50" s="27">
        <f>(X50*($T$11^$Q50))*Watts*CF_Altit</f>
        <v>6496.9694474991384</v>
      </c>
      <c r="E50" s="3">
        <f>ROUND(((D50/Watts)/(($S$9-$S$10)*1.163))*$E$14,IF($X$4=1,0,IF($X$4=2,2)))</f>
        <v>559</v>
      </c>
      <c r="F50" s="30">
        <f>($Y$48*(E50/$E$14)^$Y$50)*$F$14</f>
        <v>7.1589314623285292</v>
      </c>
      <c r="G50" s="4">
        <f>(Z50*($W$11^R50))*Watts*CF_Altit</f>
        <v>1094.6209871221893</v>
      </c>
      <c r="H50" s="4">
        <f>((G50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50+0.001448)*(Tl_cool-Tavg_cold)+(0.016908*$C50-0.033574))*1.039&gt;1,1,1/(1+((2258*((0.622/(($Z$11/(1*611*EXP(17.27*(Tavg_cold/(Tavg_cold+237.3))))))-1)*1000-(0.622/(($Z$11/(RH*611*EXP(17.27*(Tl_cool/(Tl_cool+237.3))))))-1)*1000))/(1005*(Tavg_cold-Tl_cool))))*1.039+((-0.000729*$C50+0.001448)*(Tl_cool-Tavg_cold)+(0.016908*$C50-0.033574))*1.039))))*Watts</f>
        <v>1094.6209871221893</v>
      </c>
      <c r="I50" s="3">
        <f>ROUND(((H50/Watts)/((Tr_cool-Tv_cool)*1.163))*$I$14,IF($X$4=1,0,IF($X$4=2,2)))</f>
        <v>471</v>
      </c>
      <c r="J50" s="5">
        <f>($AA$48*(I50/$I$14)^$AA$50)*$J$14</f>
        <v>5.2279641556402829</v>
      </c>
      <c r="K50" s="59">
        <f>L50-8</f>
        <v>39.5</v>
      </c>
      <c r="L50" s="53">
        <f t="shared" si="43"/>
        <v>47.5</v>
      </c>
      <c r="M50" s="46">
        <f t="shared" si="43"/>
        <v>15.1</v>
      </c>
      <c r="N50" s="64">
        <f>AD50*Cubics</f>
        <v>403</v>
      </c>
      <c r="O50" s="253">
        <f>((($D50/Watts)/(((p_atm*0.028964)/(8.31447*(20+273.15)))*(($N50/3600)/Cubics)*(1005+1870*((0.622)/(((p_atm)/($E$12*Pvs_Heat_in))-1)))))+Tl_heat)*Celc1+Celc2</f>
        <v>67.321833860407054</v>
      </c>
      <c r="P50" s="254">
        <f>(Tl_cool-(($G50/Watts)/(1006*$N50*kgss)))*Celc1+Celc2</f>
        <v>18.926966445394374</v>
      </c>
      <c r="Q50" s="220">
        <v>1</v>
      </c>
      <c r="R50" s="113">
        <f t="shared" si="4"/>
        <v>0.85389999999999999</v>
      </c>
      <c r="S50" s="194">
        <v>0</v>
      </c>
      <c r="T50" s="194">
        <v>0</v>
      </c>
      <c r="U50" s="113">
        <v>0.85389999999999999</v>
      </c>
      <c r="V50" s="194">
        <v>0</v>
      </c>
      <c r="W50" s="171">
        <f>(H50-G50)/H50</f>
        <v>0</v>
      </c>
      <c r="X50" s="123">
        <f t="shared" si="5"/>
        <v>6496.9694474991384</v>
      </c>
      <c r="Y50" s="124">
        <f t="shared" si="6"/>
        <v>1.8351115788823005</v>
      </c>
      <c r="Z50" s="124">
        <f t="shared" si="7"/>
        <v>1094.6209871221893</v>
      </c>
      <c r="AA50" s="124">
        <f t="shared" si="8"/>
        <v>1.8351115788823005</v>
      </c>
      <c r="AB50" s="125">
        <f t="shared" si="9"/>
        <v>47.5</v>
      </c>
      <c r="AC50" s="125">
        <f t="shared" si="10"/>
        <v>15.1</v>
      </c>
      <c r="AD50" s="126">
        <f t="shared" si="11"/>
        <v>403</v>
      </c>
      <c r="AE50" s="72"/>
      <c r="AF50" s="73"/>
      <c r="AG50" s="73"/>
      <c r="AH50" s="73"/>
      <c r="AI50" s="74"/>
      <c r="AJ50" s="74"/>
      <c r="AK50" s="75"/>
      <c r="AL50" s="72"/>
      <c r="AM50" s="73"/>
      <c r="AN50" s="73"/>
      <c r="AO50" s="73"/>
      <c r="AP50" s="74"/>
      <c r="AQ50" s="74"/>
      <c r="AR50" s="75"/>
      <c r="AS50" s="73"/>
      <c r="AT50" s="73"/>
      <c r="AU50" s="73"/>
      <c r="AV50" s="73"/>
      <c r="AW50" s="182"/>
      <c r="AX50" s="183"/>
      <c r="AY50" s="183"/>
      <c r="AZ50" s="183"/>
      <c r="BA50" s="184"/>
      <c r="BB50" s="184"/>
      <c r="BC50" s="185"/>
      <c r="BD50" s="72">
        <v>4525.8075299999991</v>
      </c>
      <c r="BE50" s="73">
        <v>1.84541</v>
      </c>
      <c r="BF50" s="73">
        <v>1067.3629427641649</v>
      </c>
      <c r="BG50" s="73">
        <v>1.9208636901745513</v>
      </c>
      <c r="BH50" s="74">
        <v>47.5</v>
      </c>
      <c r="BI50" s="74">
        <v>15.1</v>
      </c>
      <c r="BJ50" s="75">
        <v>403</v>
      </c>
      <c r="BK50" s="72">
        <v>6496.9694474991384</v>
      </c>
      <c r="BL50" s="73">
        <v>1.8351115788823005</v>
      </c>
      <c r="BM50" s="73">
        <v>1094.6209871221893</v>
      </c>
      <c r="BN50" s="73">
        <f>BL50</f>
        <v>1.8351115788823005</v>
      </c>
      <c r="BO50" s="74">
        <f t="shared" si="44"/>
        <v>47.5</v>
      </c>
      <c r="BP50" s="74">
        <f t="shared" si="44"/>
        <v>15.1</v>
      </c>
      <c r="BQ50" s="75">
        <f t="shared" si="44"/>
        <v>403</v>
      </c>
      <c r="BR50" s="73"/>
      <c r="BS50" s="72"/>
      <c r="BT50" s="73"/>
      <c r="BU50" s="73"/>
      <c r="BV50" s="73"/>
      <c r="BW50" s="74"/>
      <c r="BX50" s="74"/>
      <c r="BY50" s="75"/>
      <c r="BZ50" s="72"/>
      <c r="CA50" s="73"/>
      <c r="CB50" s="73"/>
      <c r="CC50" s="73"/>
      <c r="CD50" s="74"/>
      <c r="CE50" s="74"/>
      <c r="CF50" s="75"/>
      <c r="CW50" s="49">
        <f t="shared" si="45"/>
        <v>1</v>
      </c>
      <c r="CX50" s="49">
        <f t="shared" si="17"/>
        <v>1094.6209871221893</v>
      </c>
      <c r="CY50" s="263">
        <f t="shared" si="18"/>
        <v>0</v>
      </c>
      <c r="CZ50" s="49">
        <f t="shared" si="19"/>
        <v>1</v>
      </c>
    </row>
    <row r="51" spans="2:104" ht="15" x14ac:dyDescent="0.25">
      <c r="B51" s="33">
        <v>1</v>
      </c>
      <c r="C51" s="3">
        <v>10</v>
      </c>
      <c r="D51" s="27">
        <f>(X51*($T$11^$Q51))*Watts*CF_Altit</f>
        <v>7768.0105579481424</v>
      </c>
      <c r="E51" s="3">
        <f>ROUND(((D51/Watts)/(($S$9-$S$10)*1.163))*$E$14,IF($X$4=1,0,IF($X$4=2,2)))</f>
        <v>668</v>
      </c>
      <c r="F51" s="30">
        <f>($Y$48*(E51/$E$14)^$Y$50)*$F$14</f>
        <v>9.9270675717333354</v>
      </c>
      <c r="G51" s="4">
        <f>(Z51*($W$11^R51))*Watts*CF_Altit</f>
        <v>1324.8072318760314</v>
      </c>
      <c r="H51" s="4">
        <f>((G51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51+0.001448)*(Tl_cool-Tavg_cold)+(0.016908*$C51-0.033574))*1.039&gt;1,1,1/(1+((2258*((0.622/(($Z$11/(1*611*EXP(17.27*(Tavg_cold/(Tavg_cold+237.3))))))-1)*1000-(0.622/(($Z$11/(RH*611*EXP(17.27*(Tl_cool/(Tl_cool+237.3))))))-1)*1000))/(1005*(Tavg_cold-Tl_cool))))*1.039+((-0.000729*$C51+0.001448)*(Tl_cool-Tavg_cold)+(0.016908*$C51-0.033574))*1.039))))*Watts</f>
        <v>1324.8072318760314</v>
      </c>
      <c r="I51" s="3">
        <f>ROUND(((H51/Watts)/((Tr_cool-Tv_cool)*1.163))*$I$14,IF($X$4=1,0,IF($X$4=2,2)))</f>
        <v>570</v>
      </c>
      <c r="J51" s="5">
        <f>($AA$48*(I51/$I$14)^$AA$50)*$J$14</f>
        <v>7.4195717949358544</v>
      </c>
      <c r="K51" s="59">
        <f>L51-8</f>
        <v>42.5</v>
      </c>
      <c r="L51" s="53">
        <f t="shared" si="43"/>
        <v>50.5</v>
      </c>
      <c r="M51" s="46">
        <f t="shared" si="43"/>
        <v>23.2</v>
      </c>
      <c r="N51" s="64">
        <f>AD51*Cubics</f>
        <v>475</v>
      </c>
      <c r="O51" s="253">
        <f>((($D51/Watts)/(((p_atm*0.028964)/(8.31447*(20+273.15)))*(($N51/3600)/Cubics)*(1005+1870*((0.622)/(((p_atm)/($E$12*Pvs_Heat_in))-1)))))+Tl_heat)*Celc1+Celc2</f>
        <v>68.003398550304894</v>
      </c>
      <c r="P51" s="254">
        <f>(Tl_cool-(($G51/Watts)/(1006*$N51*kgss)))*Celc1+Celc2</f>
        <v>18.710332454036539</v>
      </c>
      <c r="Q51" s="220">
        <v>1</v>
      </c>
      <c r="R51" s="113">
        <f t="shared" si="4"/>
        <v>0.77110000000000001</v>
      </c>
      <c r="S51" s="194">
        <v>0</v>
      </c>
      <c r="T51" s="194">
        <v>0</v>
      </c>
      <c r="U51" s="113">
        <v>0.77110000000000001</v>
      </c>
      <c r="V51" s="194">
        <v>0</v>
      </c>
      <c r="W51" s="171">
        <f>(H51-G51)/H51</f>
        <v>0</v>
      </c>
      <c r="X51" s="127">
        <f t="shared" si="5"/>
        <v>7768.0105579481424</v>
      </c>
      <c r="Y51" s="128">
        <f t="shared" si="6"/>
        <v>0</v>
      </c>
      <c r="Z51" s="129">
        <f t="shared" si="7"/>
        <v>1324.8072318760314</v>
      </c>
      <c r="AA51" s="128">
        <f t="shared" si="8"/>
        <v>0</v>
      </c>
      <c r="AB51" s="130">
        <f t="shared" si="9"/>
        <v>50.5</v>
      </c>
      <c r="AC51" s="130">
        <f t="shared" si="10"/>
        <v>23.2</v>
      </c>
      <c r="AD51" s="131">
        <f t="shared" si="11"/>
        <v>475</v>
      </c>
      <c r="AE51" s="76"/>
      <c r="AF51" s="77"/>
      <c r="AG51" s="78"/>
      <c r="AH51" s="77"/>
      <c r="AI51" s="79"/>
      <c r="AJ51" s="79"/>
      <c r="AK51" s="80"/>
      <c r="AL51" s="76"/>
      <c r="AM51" s="77"/>
      <c r="AN51" s="78"/>
      <c r="AO51" s="77"/>
      <c r="AP51" s="79"/>
      <c r="AQ51" s="79"/>
      <c r="AR51" s="80"/>
      <c r="AS51" s="73"/>
      <c r="AT51" s="73"/>
      <c r="AU51" s="73"/>
      <c r="AV51" s="73"/>
      <c r="AW51" s="186"/>
      <c r="AX51" s="187"/>
      <c r="AY51" s="188"/>
      <c r="AZ51" s="187"/>
      <c r="BA51" s="189"/>
      <c r="BB51" s="189"/>
      <c r="BC51" s="190"/>
      <c r="BD51" s="76">
        <v>5137.6441499999983</v>
      </c>
      <c r="BE51" s="77"/>
      <c r="BF51" s="78">
        <v>1304.5677629745867</v>
      </c>
      <c r="BG51" s="77"/>
      <c r="BH51" s="79">
        <v>50.5</v>
      </c>
      <c r="BI51" s="79">
        <v>23.2</v>
      </c>
      <c r="BJ51" s="80">
        <v>475</v>
      </c>
      <c r="BK51" s="76">
        <v>7768.0105579481424</v>
      </c>
      <c r="BL51" s="77"/>
      <c r="BM51" s="78">
        <v>1324.8072318760314</v>
      </c>
      <c r="BN51" s="77"/>
      <c r="BO51" s="79">
        <f t="shared" si="44"/>
        <v>50.5</v>
      </c>
      <c r="BP51" s="79">
        <f t="shared" si="44"/>
        <v>23.2</v>
      </c>
      <c r="BQ51" s="80">
        <f t="shared" si="44"/>
        <v>475</v>
      </c>
      <c r="BR51" s="73"/>
      <c r="BS51" s="76"/>
      <c r="BT51" s="77"/>
      <c r="BU51" s="78"/>
      <c r="BV51" s="77"/>
      <c r="BW51" s="79"/>
      <c r="BX51" s="79"/>
      <c r="BY51" s="80"/>
      <c r="BZ51" s="76"/>
      <c r="CA51" s="77"/>
      <c r="CB51" s="78"/>
      <c r="CC51" s="77"/>
      <c r="CD51" s="79"/>
      <c r="CE51" s="79"/>
      <c r="CF51" s="80"/>
      <c r="CW51" s="49">
        <f t="shared" si="45"/>
        <v>1</v>
      </c>
      <c r="CX51" s="49">
        <f t="shared" si="17"/>
        <v>1324.8072318760314</v>
      </c>
      <c r="CY51" s="263">
        <f t="shared" si="18"/>
        <v>0</v>
      </c>
      <c r="CZ51" s="49">
        <f t="shared" si="19"/>
        <v>1</v>
      </c>
    </row>
    <row r="52" spans="2:104" ht="15" x14ac:dyDescent="0.25">
      <c r="B52" s="326" t="str">
        <f>IF($S$7=1,NL!A51,IF(cal!$S$7=2,EN!A51,IF(cal!$S$7=3,DE!A51,IF(cal!$S$7=4,FR!A51,IF(cal!$S$7=5,NR!A51,IF(cal!$S$7=6,SP!A51,IF(cal!$S$7=7,SW!A51,IF(cal!$S$7=8,TS!A51,IF(cal!$S$7=9,ExtraTaal1!A51,IF(cal!$S$7=10,ExtraTaal2!A51,IF(cal!$S$7=11,ExtraTaal3!A51,)))))))))))</f>
        <v>Clima Canal height 13 cm width 32 cm length 230 cm (Type 7)</v>
      </c>
      <c r="C52" s="327">
        <f>IF($S$7=1,NL!B51,IF(cal!$S$7=2,EN!B51,IF(cal!$S$7=3,DE!B51,IF(cal!$S$7=4,FR!B51,IF(cal!$S$7=5,NR!B51,IF(cal!$S$7=6,SP!B51,IF(cal!$S$7=7,SW!B51,IF(cal!$S$7=8,TS!B51,IF(cal!$S$7=9,ExtraTaal1!B51,IF(cal!$S$7=10,ExtraTaal2!B51,IF(cal!$S$7=11,ExtraTaal3!B51,)))))))))))</f>
        <v>0</v>
      </c>
      <c r="D52" s="327">
        <f>IF($S$7=1,NL!C51,IF(cal!$S$7=2,EN!C51,IF(cal!$S$7=3,DE!C51,IF(cal!$S$7=4,FR!C51,IF(cal!$S$7=5,NR!C51,IF(cal!$S$7=6,SP!C51,IF(cal!$S$7=7,SW!C51,IF(cal!$S$7=8,TS!C51,IF(cal!$S$7=9,ExtraTaal1!C51,IF(cal!$S$7=10,ExtraTaal2!C51,IF(cal!$S$7=11,ExtraTaal3!C51,)))))))))))</f>
        <v>0</v>
      </c>
      <c r="E52" s="327">
        <f>IF($S$7=1,NL!D51,IF(cal!$S$7=2,EN!D51,IF(cal!$S$7=3,DE!D51,IF(cal!$S$7=4,FR!D51,IF(cal!$S$7=5,NR!D51,IF(cal!$S$7=6,SP!D51,IF(cal!$S$7=7,SW!D51,IF(cal!$S$7=8,TS!D51,IF(cal!$S$7=9,ExtraTaal1!D51,IF(cal!$S$7=10,ExtraTaal2!D51,IF(cal!$S$7=11,ExtraTaal3!D51,)))))))))))</f>
        <v>0</v>
      </c>
      <c r="F52" s="327">
        <f>IF($S$7=1,NL!E51,IF(cal!$S$7=2,EN!E51,IF(cal!$S$7=3,DE!E51,IF(cal!$S$7=4,FR!E51,IF(cal!$S$7=5,NR!E51,IF(cal!$S$7=6,SP!E51,IF(cal!$S$7=7,SW!E51,IF(cal!$S$7=8,TS!E51,IF(cal!$S$7=9,ExtraTaal1!E51,IF(cal!$S$7=10,ExtraTaal2!E51,IF(cal!$S$7=11,ExtraTaal3!E51,)))))))))))</f>
        <v>0</v>
      </c>
      <c r="G52" s="327">
        <f>IF($S$7=1,NL!F51,IF(cal!$S$7=2,EN!F51,IF(cal!$S$7=3,DE!F51,IF(cal!$S$7=4,FR!F51,IF(cal!$S$7=5,NR!F51,IF(cal!$S$7=6,SP!F51,IF(cal!$S$7=7,SW!F51,IF(cal!$S$7=8,TS!F51,IF(cal!$S$7=9,ExtraTaal1!F51,IF(cal!$S$7=10,ExtraTaal2!F51,IF(cal!$S$7=11,ExtraTaal3!F51,)))))))))))</f>
        <v>0</v>
      </c>
      <c r="H52" s="327">
        <f>IF($S$7=1,NL!G51,IF(cal!$S$7=2,EN!G51,IF(cal!$S$7=3,DE!G51,IF(cal!$S$7=4,FR!G51,IF(cal!$S$7=5,NR!G51,IF(cal!$S$7=6,SP!G51,IF(cal!$S$7=7,SW!G51,IF(cal!$S$7=8,TS!G51,IF(cal!$S$7=9,ExtraTaal1!G51,IF(cal!$S$7=10,ExtraTaal2!G51,IF(cal!$S$7=11,ExtraTaal3!G51,)))))))))))</f>
        <v>0</v>
      </c>
      <c r="I52" s="327">
        <f>IF($S$7=1,NL!H51,IF(cal!$S$7=2,EN!H51,IF(cal!$S$7=3,DE!H51,IF(cal!$S$7=4,FR!H51,IF(cal!$S$7=5,NR!H51,IF(cal!$S$7=6,SP!H51,IF(cal!$S$7=7,SW!H51,IF(cal!$S$7=8,TS!H51,IF(cal!$S$7=9,ExtraTaal1!H51,IF(cal!$S$7=10,ExtraTaal2!H51,IF(cal!$S$7=11,ExtraTaal3!H51,)))))))))))</f>
        <v>0</v>
      </c>
      <c r="J52" s="327">
        <f>IF($S$7=1,NL!I51,IF(cal!$S$7=2,EN!I51,IF(cal!$S$7=3,DE!I51,IF(cal!$S$7=4,FR!I51,IF(cal!$S$7=5,NR!I51,IF(cal!$S$7=6,SP!I51,IF(cal!$S$7=7,SW!I51,IF(cal!$S$7=8,TS!I51,IF(cal!$S$7=9,ExtraTaal1!I51,IF(cal!$S$7=10,ExtraTaal2!I51,IF(cal!$S$7=11,ExtraTaal3!I51,)))))))))))</f>
        <v>0</v>
      </c>
      <c r="K52" s="327">
        <f>IF($S$7=1,NL!J51,IF(cal!$S$7=2,EN!J51,IF(cal!$S$7=3,DE!J51,IF(cal!$S$7=4,FR!J51,IF(cal!$S$7=5,NR!J51,IF(cal!$S$7=6,SP!J51,IF(cal!$S$7=7,SW!J51,IF(cal!$S$7=8,TS!J51,IF(cal!$S$7=9,ExtraTaal1!J51,IF(cal!$S$7=10,ExtraTaal2!J51,IF(cal!$S$7=11,ExtraTaal3!J51,)))))))))))</f>
        <v>0</v>
      </c>
      <c r="L52" s="327">
        <f>IF($S$7=1,NL!K51,IF(cal!$S$7=2,EN!K51,IF(cal!$S$7=3,DE!K51,IF(cal!$S$7=4,FR!K51,IF(cal!$S$7=5,NR!K51,IF(cal!$S$7=6,SP!K51,IF(cal!$S$7=7,SW!K51,IF(cal!$S$7=8,TS!K51,IF(cal!$S$7=9,ExtraTaal1!K51,IF(cal!$S$7=10,ExtraTaal2!K51,IF(cal!$S$7=11,ExtraTaal3!K51,)))))))))))</f>
        <v>0</v>
      </c>
      <c r="M52" s="327">
        <f>IF($S$7=1,NL!L51,IF(cal!$S$7=2,EN!L51,IF(cal!$S$7=3,DE!L51,IF(cal!$S$7=4,FR!L51,IF(cal!$S$7=5,NR!L51,IF(cal!$S$7=6,SP!L51,IF(cal!$S$7=7,SW!L51,IF(cal!$S$7=8,TS!L51,IF(cal!$S$7=9,ExtraTaal1!L51,IF(cal!$S$7=10,ExtraTaal2!L51,IF(cal!$S$7=11,ExtraTaal3!L51,)))))))))))</f>
        <v>0</v>
      </c>
      <c r="N52" s="327">
        <f>IF($S$7=1,NL!M51,IF(cal!$S$7=2,EN!M51,IF(cal!$S$7=3,DE!M51,IF(cal!$S$7=4,FR!M51,IF(cal!$S$7=5,NR!M51,IF(cal!$S$7=6,SP!M51,IF(cal!$S$7=7,SW!M51,IF(cal!$S$7=8,TS!M51,IF(cal!$S$7=9,ExtraTaal1!M51,IF(cal!$S$7=10,ExtraTaal2!M51,IF(cal!$S$7=11,ExtraTaal3!M51,)))))))))))</f>
        <v>0</v>
      </c>
      <c r="O52" s="327">
        <f>IF($S$7=1,NL!N51,IF(cal!$S$7=2,EN!N51,IF(cal!$S$7=3,DE!N51,IF(cal!$S$7=4,FR!N51,IF(cal!$S$7=5,NR!N51,IF(cal!$S$7=6,SP!N51,IF(cal!$S$7=7,SW!N51,IF(cal!$S$7=8,TS!N51,IF(cal!$S$7=9,ExtraTaal1!N51,IF(cal!$S$7=10,ExtraTaal2!N51,IF(cal!$S$7=11,ExtraTaal3!N51,)))))))))))</f>
        <v>0</v>
      </c>
      <c r="P52" s="328">
        <f>IF($S$7=1,NL!O51,IF(cal!$S$7=2,EN!O51,IF(cal!$S$7=3,DE!O51,IF(cal!$S$7=4,FR!O51,IF(cal!$S$7=5,NR!O51,IF(cal!$S$7=6,SP!O51,IF(cal!$S$7=7,SW!O51,IF(cal!$S$7=8,TS!O51,IF(cal!$S$7=9,ExtraTaal1!O51,IF(cal!$S$7=10,ExtraTaal2!O51,IF(cal!$S$7=11,ExtraTaal3!O51,)))))))))))</f>
        <v>0</v>
      </c>
      <c r="Q52" s="209" t="s">
        <v>11</v>
      </c>
      <c r="R52" s="113" t="str">
        <f t="shared" si="4"/>
        <v>n-value</v>
      </c>
      <c r="S52" s="195" t="s">
        <v>11</v>
      </c>
      <c r="T52" s="195" t="s">
        <v>11</v>
      </c>
      <c r="U52" s="196" t="s">
        <v>11</v>
      </c>
      <c r="V52" s="195" t="s">
        <v>11</v>
      </c>
      <c r="W52" s="171"/>
      <c r="X52" s="132" t="str">
        <f t="shared" si="5"/>
        <v>H</v>
      </c>
      <c r="Y52" s="133">
        <f t="shared" si="6"/>
        <v>13</v>
      </c>
      <c r="Z52" s="132" t="str">
        <f t="shared" si="7"/>
        <v>B</v>
      </c>
      <c r="AA52" s="133">
        <f t="shared" si="8"/>
        <v>32</v>
      </c>
      <c r="AB52" s="132" t="str">
        <f t="shared" si="9"/>
        <v>L</v>
      </c>
      <c r="AC52" s="137">
        <f t="shared" si="10"/>
        <v>200</v>
      </c>
      <c r="AD52" s="135">
        <f t="shared" si="11"/>
        <v>0</v>
      </c>
      <c r="AE52" s="83"/>
      <c r="AF52" s="84"/>
      <c r="AG52" s="83"/>
      <c r="AH52" s="84"/>
      <c r="AI52" s="83"/>
      <c r="AJ52" s="84"/>
      <c r="AK52" s="82"/>
      <c r="AL52" s="83"/>
      <c r="AM52" s="84"/>
      <c r="AN52" s="83"/>
      <c r="AO52" s="84"/>
      <c r="AP52" s="83"/>
      <c r="AQ52" s="84"/>
      <c r="AR52" s="82"/>
      <c r="AS52" s="86"/>
      <c r="AT52" s="86"/>
      <c r="AU52" s="86"/>
      <c r="AV52" s="86"/>
      <c r="AW52" s="191"/>
      <c r="AX52" s="192"/>
      <c r="AY52" s="191"/>
      <c r="AZ52" s="192"/>
      <c r="BA52" s="191"/>
      <c r="BB52" s="192"/>
      <c r="BC52" s="193"/>
      <c r="BD52" s="83" t="s">
        <v>61</v>
      </c>
      <c r="BE52" s="84">
        <f>BE22</f>
        <v>13</v>
      </c>
      <c r="BF52" s="83" t="s">
        <v>62</v>
      </c>
      <c r="BG52" s="84">
        <f>BG22</f>
        <v>32</v>
      </c>
      <c r="BH52" s="83" t="s">
        <v>63</v>
      </c>
      <c r="BI52" s="84">
        <f>IF($X$4=1,200,200/2.54)</f>
        <v>200</v>
      </c>
      <c r="BJ52" s="82"/>
      <c r="BK52" s="83" t="s">
        <v>61</v>
      </c>
      <c r="BL52" s="84">
        <f>BL22</f>
        <v>13</v>
      </c>
      <c r="BM52" s="83" t="s">
        <v>62</v>
      </c>
      <c r="BN52" s="84">
        <f>BN22</f>
        <v>32</v>
      </c>
      <c r="BO52" s="83" t="s">
        <v>63</v>
      </c>
      <c r="BP52" s="84">
        <f>IF($X$4=1,200,200/2.54)</f>
        <v>200</v>
      </c>
      <c r="BQ52" s="82"/>
      <c r="BR52" s="86"/>
      <c r="BS52" s="83"/>
      <c r="BT52" s="84"/>
      <c r="BU52" s="83"/>
      <c r="BV52" s="84"/>
      <c r="BW52" s="83"/>
      <c r="BX52" s="84"/>
      <c r="BY52" s="82"/>
      <c r="BZ52" s="83"/>
      <c r="CA52" s="84"/>
      <c r="CB52" s="83"/>
      <c r="CC52" s="84"/>
      <c r="CD52" s="83"/>
      <c r="CE52" s="84"/>
      <c r="CF52" s="82"/>
      <c r="CW52" s="49">
        <f t="shared" si="45"/>
        <v>1</v>
      </c>
      <c r="CX52" s="49">
        <f t="shared" si="17"/>
        <v>0</v>
      </c>
      <c r="CY52" s="263">
        <f t="shared" si="18"/>
        <v>0</v>
      </c>
      <c r="CZ52" s="49">
        <f t="shared" si="19"/>
        <v>1</v>
      </c>
    </row>
    <row r="53" spans="2:104" ht="15" x14ac:dyDescent="0.25">
      <c r="B53" s="33">
        <v>0.2</v>
      </c>
      <c r="C53" s="3">
        <v>2</v>
      </c>
      <c r="D53" s="27">
        <f>(X53*($T$11^$Q53))*Watts*CF_Altit</f>
        <v>1806.6596173575381</v>
      </c>
      <c r="E53" s="3">
        <f>ROUND(((D53/Watts)/(($S$9-$S$10)*1.163))*$E$14,IF($X$4=1,0,IF($X$4=2,2)))</f>
        <v>155</v>
      </c>
      <c r="F53" s="30">
        <f>($Y$54*(E53/$E$14)^$Y$56)*$F$14</f>
        <v>0.76255728107698928</v>
      </c>
      <c r="G53" s="4">
        <f>(Z53*($W$11^R53))*Watts*CF_Altit</f>
        <v>388.76964077650842</v>
      </c>
      <c r="H53" s="4">
        <f>((G53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53+0.001448)*(Tl_cool-Tavg_cold)+(0.016908*$C53-0.033574))*1.039&gt;1,1,1/(1+((2258*((0.622/(($Z$11/(1*611*EXP(17.27*(Tavg_cold/(Tavg_cold+237.3))))))-1)*1000-(0.622/(($Z$11/(RH*611*EXP(17.27*(Tl_cool/(Tl_cool+237.3))))))-1)*1000))/(1005*(Tavg_cold-Tl_cool))))*1.039+((-0.000729*$C53+0.001448)*(Tl_cool-Tavg_cold)+(0.016908*$C53-0.033574))*1.039))))*Watts</f>
        <v>388.76964077650842</v>
      </c>
      <c r="I53" s="3">
        <f>ROUND(((H53/Watts)/((Tr_cool-Tv_cool)*1.163))*$I$14,IF($X$4=1,0,IF($X$4=2,2)))</f>
        <v>167</v>
      </c>
      <c r="J53" s="5">
        <f>($AA$54*(I53/$I$14)^$AA$56)*$J$14</f>
        <v>0.87374806690251738</v>
      </c>
      <c r="K53" s="59">
        <f>L53-8</f>
        <v>23</v>
      </c>
      <c r="L53" s="53">
        <f t="shared" ref="L53:M57" si="46">AB53</f>
        <v>31</v>
      </c>
      <c r="M53" s="46">
        <f t="shared" si="46"/>
        <v>3.4</v>
      </c>
      <c r="N53" s="64">
        <f>AD53*Cubics</f>
        <v>98</v>
      </c>
      <c r="O53" s="251">
        <f>((($D53/Watts)/(((p_atm*0.028964)/(8.31447*(20+273.15)))*(($N53/3600)/Cubics)*(1005+1870*((0.622)/(((p_atm)/($E$12*Pvs_Heat_in))-1)))))+Tl_heat)*Celc1+Celc2</f>
        <v>74.113552981365601</v>
      </c>
      <c r="P53" s="252">
        <f>(Tl_cool-(($G53/Watts)/(1006*$N53*kgss)))*Celc1+Celc2</f>
        <v>15.209172091363333</v>
      </c>
      <c r="Q53" s="220">
        <v>1</v>
      </c>
      <c r="R53" s="113">
        <f t="shared" si="4"/>
        <v>0.78069999999999995</v>
      </c>
      <c r="S53" s="194">
        <v>0</v>
      </c>
      <c r="T53" s="194">
        <v>0</v>
      </c>
      <c r="U53" s="113">
        <v>0.78069999999999995</v>
      </c>
      <c r="V53" s="194">
        <v>0</v>
      </c>
      <c r="W53" s="171">
        <f>(H53-G53)/H53</f>
        <v>0</v>
      </c>
      <c r="X53" s="118">
        <f t="shared" si="5"/>
        <v>1806.6596173575381</v>
      </c>
      <c r="Y53" s="119" t="str">
        <f t="shared" si="6"/>
        <v>a</v>
      </c>
      <c r="Z53" s="120">
        <f t="shared" si="7"/>
        <v>388.76964077650842</v>
      </c>
      <c r="AA53" s="119" t="str">
        <f t="shared" si="8"/>
        <v>a</v>
      </c>
      <c r="AB53" s="121">
        <f t="shared" si="9"/>
        <v>31</v>
      </c>
      <c r="AC53" s="121">
        <f t="shared" si="10"/>
        <v>3.4</v>
      </c>
      <c r="AD53" s="122">
        <f t="shared" si="11"/>
        <v>98</v>
      </c>
      <c r="AE53" s="67"/>
      <c r="AF53" s="68"/>
      <c r="AG53" s="69"/>
      <c r="AH53" s="68"/>
      <c r="AI53" s="70"/>
      <c r="AJ53" s="70"/>
      <c r="AK53" s="71"/>
      <c r="AL53" s="67"/>
      <c r="AM53" s="68"/>
      <c r="AN53" s="69"/>
      <c r="AO53" s="68"/>
      <c r="AP53" s="70"/>
      <c r="AQ53" s="70"/>
      <c r="AR53" s="71"/>
      <c r="AS53" s="73"/>
      <c r="AT53" s="73"/>
      <c r="AU53" s="73"/>
      <c r="AV53" s="73"/>
      <c r="AW53" s="177"/>
      <c r="AX53" s="178"/>
      <c r="AY53" s="179"/>
      <c r="AZ53" s="178"/>
      <c r="BA53" s="180"/>
      <c r="BB53" s="180"/>
      <c r="BC53" s="181"/>
      <c r="BD53" s="67">
        <v>1549.8924299999999</v>
      </c>
      <c r="BE53" s="68" t="s">
        <v>49</v>
      </c>
      <c r="BF53" s="69">
        <v>373.27309722050592</v>
      </c>
      <c r="BG53" s="68" t="s">
        <v>49</v>
      </c>
      <c r="BH53" s="70">
        <v>31</v>
      </c>
      <c r="BI53" s="70">
        <v>3.4</v>
      </c>
      <c r="BJ53" s="71">
        <v>98</v>
      </c>
      <c r="BK53" s="67">
        <v>1806.6596173575381</v>
      </c>
      <c r="BL53" s="68" t="s">
        <v>49</v>
      </c>
      <c r="BM53" s="69">
        <v>388.76964077650842</v>
      </c>
      <c r="BN53" s="68" t="s">
        <v>49</v>
      </c>
      <c r="BO53" s="70">
        <f t="shared" ref="BO53:BQ57" si="47">BH53</f>
        <v>31</v>
      </c>
      <c r="BP53" s="70">
        <f t="shared" si="47"/>
        <v>3.4</v>
      </c>
      <c r="BQ53" s="71">
        <f t="shared" si="47"/>
        <v>98</v>
      </c>
      <c r="BR53" s="73"/>
      <c r="BS53" s="67"/>
      <c r="BT53" s="68"/>
      <c r="BU53" s="69"/>
      <c r="BV53" s="68"/>
      <c r="BW53" s="70"/>
      <c r="BX53" s="70"/>
      <c r="BY53" s="71"/>
      <c r="BZ53" s="67"/>
      <c r="CA53" s="68"/>
      <c r="CB53" s="69"/>
      <c r="CC53" s="68"/>
      <c r="CD53" s="70"/>
      <c r="CE53" s="70"/>
      <c r="CF53" s="71"/>
      <c r="CW53" s="49">
        <f t="shared" si="45"/>
        <v>1</v>
      </c>
      <c r="CX53" s="49">
        <f t="shared" si="17"/>
        <v>388.76964077650842</v>
      </c>
      <c r="CY53" s="263">
        <f t="shared" si="18"/>
        <v>0</v>
      </c>
      <c r="CZ53" s="49">
        <f t="shared" si="19"/>
        <v>1</v>
      </c>
    </row>
    <row r="54" spans="2:104" ht="15" x14ac:dyDescent="0.25">
      <c r="B54" s="33">
        <v>0.4</v>
      </c>
      <c r="C54" s="3">
        <v>4</v>
      </c>
      <c r="D54" s="27">
        <f>(X54*($T$11^$Q54))*Watts*CF_Altit</f>
        <v>3995.7369439056843</v>
      </c>
      <c r="E54" s="3">
        <f>ROUND(((D54/Watts)/(($S$9-$S$10)*1.163))*$E$14,IF($X$4=1,0,IF($X$4=2,2)))</f>
        <v>344</v>
      </c>
      <c r="F54" s="30">
        <f>($Y$54*(E54/$E$14)^$Y$56)*$F$14</f>
        <v>3.2678319097682533</v>
      </c>
      <c r="G54" s="4">
        <f>(Z54*($W$11^R54))*Watts*CF_Altit</f>
        <v>705.90813123924863</v>
      </c>
      <c r="H54" s="4">
        <f>((G54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54+0.001448)*(Tl_cool-Tavg_cold)+(0.016908*$C54-0.033574))*1.039&gt;1,1,1/(1+((2258*((0.622/(($Z$11/(1*611*EXP(17.27*(Tavg_cold/(Tavg_cold+237.3))))))-1)*1000-(0.622/(($Z$11/(RH*611*EXP(17.27*(Tl_cool/(Tl_cool+237.3))))))-1)*1000))/(1005*(Tavg_cold-Tl_cool))))*1.039+((-0.000729*$C54+0.001448)*(Tl_cool-Tavg_cold)+(0.016908*$C54-0.033574))*1.039))))*Watts</f>
        <v>705.90813123924863</v>
      </c>
      <c r="I54" s="3">
        <f>ROUND(((H54/Watts)/((Tr_cool-Tv_cool)*1.163))*$I$14,IF($X$4=1,0,IF($X$4=2,2)))</f>
        <v>303</v>
      </c>
      <c r="J54" s="5">
        <f>($AA$54*(I54/$I$14)^$AA$56)*$J$14</f>
        <v>2.5921116263594941</v>
      </c>
      <c r="K54" s="59">
        <f>L54-8</f>
        <v>29</v>
      </c>
      <c r="L54" s="53">
        <f t="shared" si="46"/>
        <v>37</v>
      </c>
      <c r="M54" s="46">
        <f t="shared" si="46"/>
        <v>5.8</v>
      </c>
      <c r="N54" s="64">
        <f>AD54*Cubics</f>
        <v>228</v>
      </c>
      <c r="O54" s="253">
        <f>((($D54/Watts)/(((p_atm*0.028964)/(8.31447*(20+273.15)))*(($N54/3600)/Cubics)*(1005+1870*((0.622)/(((p_atm)/($E$12*Pvs_Heat_in))-1)))))+Tl_heat)*Celc1+Celc2</f>
        <v>71.441998241167283</v>
      </c>
      <c r="P54" s="254">
        <f>(Tl_cool-(($G54/Watts)/(1006*$N54*kgss)))*Celc1+Celc2</f>
        <v>17.797806300343815</v>
      </c>
      <c r="Q54" s="220">
        <v>1</v>
      </c>
      <c r="R54" s="113">
        <f t="shared" si="4"/>
        <v>0.85870000000000002</v>
      </c>
      <c r="S54" s="194">
        <v>0</v>
      </c>
      <c r="T54" s="194">
        <v>0</v>
      </c>
      <c r="U54" s="113">
        <v>0.85870000000000002</v>
      </c>
      <c r="V54" s="194">
        <v>0</v>
      </c>
      <c r="W54" s="171">
        <f>(H54-G54)/H54</f>
        <v>0</v>
      </c>
      <c r="X54" s="123">
        <f t="shared" si="5"/>
        <v>3995.7369439056843</v>
      </c>
      <c r="Y54" s="124">
        <f t="shared" si="6"/>
        <v>7.6583688224419073E-5</v>
      </c>
      <c r="Z54" s="124">
        <f t="shared" si="7"/>
        <v>705.90813123924863</v>
      </c>
      <c r="AA54" s="124">
        <f t="shared" si="8"/>
        <v>7.6583688224419073E-5</v>
      </c>
      <c r="AB54" s="125">
        <f t="shared" si="9"/>
        <v>37</v>
      </c>
      <c r="AC54" s="125">
        <f t="shared" si="10"/>
        <v>5.8</v>
      </c>
      <c r="AD54" s="126">
        <f t="shared" si="11"/>
        <v>228</v>
      </c>
      <c r="AE54" s="72"/>
      <c r="AF54" s="73"/>
      <c r="AG54" s="73"/>
      <c r="AH54" s="73"/>
      <c r="AI54" s="74"/>
      <c r="AJ54" s="74"/>
      <c r="AK54" s="75"/>
      <c r="AL54" s="72"/>
      <c r="AM54" s="73"/>
      <c r="AN54" s="73"/>
      <c r="AO54" s="73"/>
      <c r="AP54" s="74"/>
      <c r="AQ54" s="74"/>
      <c r="AR54" s="75"/>
      <c r="AS54" s="73"/>
      <c r="AT54" s="73"/>
      <c r="AU54" s="73"/>
      <c r="AV54" s="73"/>
      <c r="AW54" s="182"/>
      <c r="AX54" s="183"/>
      <c r="AY54" s="183"/>
      <c r="AZ54" s="183"/>
      <c r="BA54" s="184"/>
      <c r="BB54" s="184"/>
      <c r="BC54" s="185"/>
      <c r="BD54" s="72">
        <v>3091.0115699999997</v>
      </c>
      <c r="BE54" s="73">
        <v>9.5586899999999998E-5</v>
      </c>
      <c r="BF54" s="73">
        <v>677.87690553425705</v>
      </c>
      <c r="BG54" s="73">
        <v>1.92696346332305E-5</v>
      </c>
      <c r="BH54" s="74">
        <v>37</v>
      </c>
      <c r="BI54" s="74">
        <v>5.8</v>
      </c>
      <c r="BJ54" s="75">
        <v>228</v>
      </c>
      <c r="BK54" s="72">
        <v>3995.7369439056843</v>
      </c>
      <c r="BL54" s="73">
        <v>7.6583688224419073E-5</v>
      </c>
      <c r="BM54" s="73">
        <v>705.90813123924863</v>
      </c>
      <c r="BN54" s="73">
        <f>BL54</f>
        <v>7.6583688224419073E-5</v>
      </c>
      <c r="BO54" s="74">
        <f t="shared" si="47"/>
        <v>37</v>
      </c>
      <c r="BP54" s="74">
        <f t="shared" si="47"/>
        <v>5.8</v>
      </c>
      <c r="BQ54" s="75">
        <f t="shared" si="47"/>
        <v>228</v>
      </c>
      <c r="BR54" s="73"/>
      <c r="BS54" s="72"/>
      <c r="BT54" s="73"/>
      <c r="BU54" s="73"/>
      <c r="BV54" s="73"/>
      <c r="BW54" s="74"/>
      <c r="BX54" s="74"/>
      <c r="BY54" s="75"/>
      <c r="BZ54" s="72"/>
      <c r="CA54" s="73"/>
      <c r="CB54" s="73"/>
      <c r="CC54" s="73"/>
      <c r="CD54" s="74"/>
      <c r="CE54" s="74"/>
      <c r="CF54" s="75"/>
      <c r="CW54" s="49">
        <f t="shared" si="45"/>
        <v>1</v>
      </c>
      <c r="CX54" s="49">
        <f t="shared" si="17"/>
        <v>705.90813123924863</v>
      </c>
      <c r="CY54" s="263">
        <f t="shared" si="18"/>
        <v>0</v>
      </c>
      <c r="CZ54" s="49">
        <f t="shared" si="19"/>
        <v>1</v>
      </c>
    </row>
    <row r="55" spans="2:104" ht="15" x14ac:dyDescent="0.25">
      <c r="B55" s="33">
        <v>0.6</v>
      </c>
      <c r="C55" s="3">
        <v>6</v>
      </c>
      <c r="D55" s="27">
        <f>(X55*($T$11^$Q55))*Watts*CF_Altit</f>
        <v>5956.5417158794371</v>
      </c>
      <c r="E55" s="3">
        <f>ROUND(((D55/Watts)/(($S$9-$S$10)*1.163))*$E$14,IF($X$4=1,0,IF($X$4=2,2)))</f>
        <v>512</v>
      </c>
      <c r="F55" s="30">
        <f>($Y$54*(E55/$E$14)^$Y$56)*$F$14</f>
        <v>6.7533584478058071</v>
      </c>
      <c r="G55" s="4">
        <f>(Z55*($W$11^R55))*Watts*CF_Altit</f>
        <v>1008.1412092029277</v>
      </c>
      <c r="H55" s="4">
        <f>((G55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55+0.001448)*(Tl_cool-Tavg_cold)+(0.016908*$C55-0.033574))*1.039&gt;1,1,1/(1+((2258*((0.622/(($Z$11/(1*611*EXP(17.27*(Tavg_cold/(Tavg_cold+237.3))))))-1)*1000-(0.622/(($Z$11/(RH*611*EXP(17.27*(Tl_cool/(Tl_cool+237.3))))))-1)*1000))/(1005*(Tavg_cold-Tl_cool))))*1.039+((-0.000729*$C55+0.001448)*(Tl_cool-Tavg_cold)+(0.016908*$C55-0.033574))*1.039))))*Watts</f>
        <v>1008.1412092029277</v>
      </c>
      <c r="I55" s="3">
        <f>ROUND(((H55/Watts)/((Tr_cool-Tv_cool)*1.163))*$I$14,IF($X$4=1,0,IF($X$4=2,2)))</f>
        <v>433</v>
      </c>
      <c r="J55" s="5">
        <f>($AA$54*(I55/$I$14)^$AA$56)*$J$14</f>
        <v>4.9735511286409029</v>
      </c>
      <c r="K55" s="59">
        <f>L55-8</f>
        <v>33</v>
      </c>
      <c r="L55" s="53">
        <f t="shared" si="46"/>
        <v>41</v>
      </c>
      <c r="M55" s="46">
        <f t="shared" si="46"/>
        <v>10.1</v>
      </c>
      <c r="N55" s="64">
        <f>AD55*Cubics</f>
        <v>348</v>
      </c>
      <c r="O55" s="253">
        <f>((($D55/Watts)/(((p_atm*0.028964)/(8.31447*(20+273.15)))*(($N55/3600)/Cubics)*(1005+1870*((0.622)/(((p_atm)/($E$12*Pvs_Heat_in))-1)))))+Tl_heat)*Celc1+Celc2</f>
        <v>70.242441077212746</v>
      </c>
      <c r="P55" s="254">
        <f>(Tl_cool-(($G55/Watts)/(1006*$N55*kgss)))*Celc1+Celc2</f>
        <v>18.389662860251743</v>
      </c>
      <c r="Q55" s="220">
        <v>1</v>
      </c>
      <c r="R55" s="113">
        <f t="shared" si="4"/>
        <v>0.8831</v>
      </c>
      <c r="S55" s="194">
        <v>0</v>
      </c>
      <c r="T55" s="194">
        <v>0</v>
      </c>
      <c r="U55" s="113">
        <v>0.8831</v>
      </c>
      <c r="V55" s="194">
        <v>0</v>
      </c>
      <c r="W55" s="171">
        <f>(H55-G55)/H55</f>
        <v>0</v>
      </c>
      <c r="X55" s="123">
        <f t="shared" si="5"/>
        <v>5956.5417158794371</v>
      </c>
      <c r="Y55" s="119" t="str">
        <f t="shared" si="6"/>
        <v>b</v>
      </c>
      <c r="Z55" s="124">
        <f t="shared" si="7"/>
        <v>1008.1412092029277</v>
      </c>
      <c r="AA55" s="119" t="str">
        <f t="shared" si="8"/>
        <v>b</v>
      </c>
      <c r="AB55" s="125">
        <f t="shared" si="9"/>
        <v>41</v>
      </c>
      <c r="AC55" s="125">
        <f t="shared" si="10"/>
        <v>10.1</v>
      </c>
      <c r="AD55" s="126">
        <f t="shared" si="11"/>
        <v>348</v>
      </c>
      <c r="AE55" s="72"/>
      <c r="AF55" s="68"/>
      <c r="AG55" s="73"/>
      <c r="AH55" s="68"/>
      <c r="AI55" s="74"/>
      <c r="AJ55" s="74"/>
      <c r="AK55" s="75"/>
      <c r="AL55" s="72"/>
      <c r="AM55" s="68"/>
      <c r="AN55" s="73"/>
      <c r="AO55" s="68"/>
      <c r="AP55" s="74"/>
      <c r="AQ55" s="74"/>
      <c r="AR55" s="75"/>
      <c r="AS55" s="73"/>
      <c r="AT55" s="73"/>
      <c r="AU55" s="73"/>
      <c r="AV55" s="73"/>
      <c r="AW55" s="182"/>
      <c r="AX55" s="178"/>
      <c r="AY55" s="183"/>
      <c r="AZ55" s="178"/>
      <c r="BA55" s="184"/>
      <c r="BB55" s="184"/>
      <c r="BC55" s="185"/>
      <c r="BD55" s="72">
        <v>4359.7910700000002</v>
      </c>
      <c r="BE55" s="68" t="s">
        <v>50</v>
      </c>
      <c r="BF55" s="73">
        <v>974.52232455426361</v>
      </c>
      <c r="BG55" s="68" t="s">
        <v>50</v>
      </c>
      <c r="BH55" s="74">
        <v>41</v>
      </c>
      <c r="BI55" s="74">
        <v>10.1</v>
      </c>
      <c r="BJ55" s="75">
        <v>348</v>
      </c>
      <c r="BK55" s="72">
        <v>5956.5417158794371</v>
      </c>
      <c r="BL55" s="68" t="s">
        <v>50</v>
      </c>
      <c r="BM55" s="73">
        <v>1008.1412092029277</v>
      </c>
      <c r="BN55" s="68" t="s">
        <v>50</v>
      </c>
      <c r="BO55" s="74">
        <f t="shared" si="47"/>
        <v>41</v>
      </c>
      <c r="BP55" s="74">
        <f t="shared" si="47"/>
        <v>10.1</v>
      </c>
      <c r="BQ55" s="75">
        <f t="shared" si="47"/>
        <v>348</v>
      </c>
      <c r="BR55" s="73"/>
      <c r="BS55" s="72"/>
      <c r="BT55" s="68"/>
      <c r="BU55" s="73"/>
      <c r="BV55" s="68"/>
      <c r="BW55" s="74"/>
      <c r="BX55" s="74"/>
      <c r="BY55" s="75"/>
      <c r="BZ55" s="72"/>
      <c r="CA55" s="68"/>
      <c r="CB55" s="73"/>
      <c r="CC55" s="68"/>
      <c r="CD55" s="74"/>
      <c r="CE55" s="74"/>
      <c r="CF55" s="75"/>
      <c r="CW55" s="49">
        <f t="shared" si="45"/>
        <v>1</v>
      </c>
      <c r="CX55" s="49">
        <f t="shared" si="17"/>
        <v>1008.1412092029277</v>
      </c>
      <c r="CY55" s="263">
        <f t="shared" si="18"/>
        <v>0</v>
      </c>
      <c r="CZ55" s="49">
        <f t="shared" si="19"/>
        <v>1</v>
      </c>
    </row>
    <row r="56" spans="2:104" ht="15" x14ac:dyDescent="0.25">
      <c r="B56" s="33">
        <v>0.8</v>
      </c>
      <c r="C56" s="3">
        <v>8</v>
      </c>
      <c r="D56" s="27">
        <f>(X56*($T$11^$Q56))*Watts*CF_Altit</f>
        <v>7689.0739332787971</v>
      </c>
      <c r="E56" s="3">
        <f>ROUND(((D56/Watts)/(($S$9-$S$10)*1.163))*$E$14,IF($X$4=1,0,IF($X$4=2,2)))</f>
        <v>661</v>
      </c>
      <c r="F56" s="30">
        <f>($Y$54*(E56/$E$14)^$Y$56)*$F$14</f>
        <v>10.764883466888408</v>
      </c>
      <c r="G56" s="4">
        <f>(Z56*($W$11^R56))*Watts*CF_Altit</f>
        <v>1295.4688746675452</v>
      </c>
      <c r="H56" s="4">
        <f>((G56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56+0.001448)*(Tl_cool-Tavg_cold)+(0.016908*$C56-0.033574))*1.039&gt;1,1,1/(1+((2258*((0.622/(($Z$11/(1*611*EXP(17.27*(Tavg_cold/(Tavg_cold+237.3))))))-1)*1000-(0.622/(($Z$11/(RH*611*EXP(17.27*(Tl_cool/(Tl_cool+237.3))))))-1)*1000))/(1005*(Tavg_cold-Tl_cool))))*1.039+((-0.000729*$C56+0.001448)*(Tl_cool-Tavg_cold)+(0.016908*$C56-0.033574))*1.039))))*Watts</f>
        <v>1295.4688746675452</v>
      </c>
      <c r="I56" s="3">
        <f>ROUND(((H56/Watts)/((Tr_cool-Tv_cool)*1.163))*$I$14,IF($X$4=1,0,IF($X$4=2,2)))</f>
        <v>557</v>
      </c>
      <c r="J56" s="5">
        <f>($AA$54*(I56/$I$14)^$AA$56)*$J$14</f>
        <v>7.875912748834125</v>
      </c>
      <c r="K56" s="59">
        <f>L56-8</f>
        <v>40</v>
      </c>
      <c r="L56" s="53">
        <f t="shared" si="46"/>
        <v>48</v>
      </c>
      <c r="M56" s="46">
        <f t="shared" si="46"/>
        <v>17.5</v>
      </c>
      <c r="N56" s="64">
        <f>AD56*Cubics</f>
        <v>470</v>
      </c>
      <c r="O56" s="253">
        <f>((($D56/Watts)/(((p_atm*0.028964)/(8.31447*(20+273.15)))*(($N56/3600)/Cubics)*(1005+1870*((0.622)/(((p_atm)/($E$12*Pvs_Heat_in))-1)))))+Tl_heat)*Celc1+Celc2</f>
        <v>68.021084850692603</v>
      </c>
      <c r="P56" s="254">
        <f>(Tl_cool-(($G56/Watts)/(1006*$N56*kgss)))*Celc1+Celc2</f>
        <v>18.807675280045235</v>
      </c>
      <c r="Q56" s="220">
        <v>1</v>
      </c>
      <c r="R56" s="113">
        <f t="shared" si="4"/>
        <v>0.85389999999999999</v>
      </c>
      <c r="S56" s="194">
        <v>0</v>
      </c>
      <c r="T56" s="194">
        <v>0</v>
      </c>
      <c r="U56" s="113">
        <v>0.85389999999999999</v>
      </c>
      <c r="V56" s="194">
        <v>0</v>
      </c>
      <c r="W56" s="171">
        <f>(H56-G56)/H56</f>
        <v>0</v>
      </c>
      <c r="X56" s="123">
        <f t="shared" si="5"/>
        <v>7689.0739332787971</v>
      </c>
      <c r="Y56" s="124">
        <f t="shared" si="6"/>
        <v>1.8253564962973818</v>
      </c>
      <c r="Z56" s="124">
        <f t="shared" si="7"/>
        <v>1295.4688746675452</v>
      </c>
      <c r="AA56" s="124">
        <f t="shared" si="8"/>
        <v>1.8253564962973818</v>
      </c>
      <c r="AB56" s="125">
        <f t="shared" si="9"/>
        <v>48</v>
      </c>
      <c r="AC56" s="125">
        <f t="shared" si="10"/>
        <v>17.5</v>
      </c>
      <c r="AD56" s="126">
        <f t="shared" si="11"/>
        <v>470</v>
      </c>
      <c r="AE56" s="72"/>
      <c r="AF56" s="73"/>
      <c r="AG56" s="73"/>
      <c r="AH56" s="73"/>
      <c r="AI56" s="74"/>
      <c r="AJ56" s="74"/>
      <c r="AK56" s="75"/>
      <c r="AL56" s="72"/>
      <c r="AM56" s="73"/>
      <c r="AN56" s="73"/>
      <c r="AO56" s="73"/>
      <c r="AP56" s="74"/>
      <c r="AQ56" s="74"/>
      <c r="AR56" s="75"/>
      <c r="AS56" s="73"/>
      <c r="AT56" s="73"/>
      <c r="AU56" s="73"/>
      <c r="AV56" s="73"/>
      <c r="AW56" s="182"/>
      <c r="AX56" s="183"/>
      <c r="AY56" s="183"/>
      <c r="AZ56" s="183"/>
      <c r="BA56" s="184"/>
      <c r="BB56" s="184"/>
      <c r="BC56" s="185"/>
      <c r="BD56" s="72">
        <v>5356.2309299999988</v>
      </c>
      <c r="BE56" s="73">
        <v>1.8372900000000001</v>
      </c>
      <c r="BF56" s="73">
        <v>1263.2093542805255</v>
      </c>
      <c r="BG56" s="73">
        <v>1.9149559385396036</v>
      </c>
      <c r="BH56" s="74">
        <v>48</v>
      </c>
      <c r="BI56" s="74">
        <v>17.5</v>
      </c>
      <c r="BJ56" s="75">
        <v>470</v>
      </c>
      <c r="BK56" s="72">
        <v>7689.0739332787971</v>
      </c>
      <c r="BL56" s="73">
        <v>1.8253564962973818</v>
      </c>
      <c r="BM56" s="73">
        <v>1295.4688746675452</v>
      </c>
      <c r="BN56" s="73">
        <f>BL56</f>
        <v>1.8253564962973818</v>
      </c>
      <c r="BO56" s="74">
        <f t="shared" si="47"/>
        <v>48</v>
      </c>
      <c r="BP56" s="74">
        <f t="shared" si="47"/>
        <v>17.5</v>
      </c>
      <c r="BQ56" s="75">
        <f t="shared" si="47"/>
        <v>470</v>
      </c>
      <c r="BR56" s="73"/>
      <c r="BS56" s="72"/>
      <c r="BT56" s="73"/>
      <c r="BU56" s="73"/>
      <c r="BV56" s="73"/>
      <c r="BW56" s="74"/>
      <c r="BX56" s="74"/>
      <c r="BY56" s="75"/>
      <c r="BZ56" s="72"/>
      <c r="CA56" s="73"/>
      <c r="CB56" s="73"/>
      <c r="CC56" s="73"/>
      <c r="CD56" s="74"/>
      <c r="CE56" s="74"/>
      <c r="CF56" s="75"/>
      <c r="CW56" s="49">
        <f t="shared" si="45"/>
        <v>1</v>
      </c>
      <c r="CX56" s="49">
        <f t="shared" si="17"/>
        <v>1295.4688746675452</v>
      </c>
      <c r="CY56" s="263">
        <f t="shared" si="18"/>
        <v>0</v>
      </c>
      <c r="CZ56" s="49">
        <f t="shared" si="19"/>
        <v>1</v>
      </c>
    </row>
    <row r="57" spans="2:104" ht="15" x14ac:dyDescent="0.25">
      <c r="B57" s="33">
        <v>1</v>
      </c>
      <c r="C57" s="3">
        <v>10</v>
      </c>
      <c r="D57" s="27">
        <f>(X57*($T$11^$Q57))*Watts*CF_Altit</f>
        <v>9193.3335961037646</v>
      </c>
      <c r="E57" s="3">
        <f>ROUND(((D57/Watts)/(($S$9-$S$10)*1.163))*$E$14,IF($X$4=1,0,IF($X$4=2,2)))</f>
        <v>790</v>
      </c>
      <c r="F57" s="30">
        <f>($Y$54*(E57/$E$14)^$Y$56)*$F$14</f>
        <v>14.905231059418846</v>
      </c>
      <c r="G57" s="4">
        <f>(Z57*($W$11^R57))*Watts*CF_Altit</f>
        <v>1567.8911276331014</v>
      </c>
      <c r="H57" s="4">
        <f>((G57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57+0.001448)*(Tl_cool-Tavg_cold)+(0.016908*$C57-0.033574))*1.039&gt;1,1,1/(1+((2258*((0.622/(($Z$11/(1*611*EXP(17.27*(Tavg_cold/(Tavg_cold+237.3))))))-1)*1000-(0.622/(($Z$11/(RH*611*EXP(17.27*(Tl_cool/(Tl_cool+237.3))))))-1)*1000))/(1005*(Tavg_cold-Tl_cool))))*1.039+((-0.000729*$C57+0.001448)*(Tl_cool-Tavg_cold)+(0.016908*$C57-0.033574))*1.039))))*Watts</f>
        <v>1567.8911276331014</v>
      </c>
      <c r="I57" s="3">
        <f>ROUND(((H57/Watts)/((Tr_cool-Tv_cool)*1.163))*$I$14,IF($X$4=1,0,IF($X$4=2,2)))</f>
        <v>674</v>
      </c>
      <c r="J57" s="5">
        <f>($AA$54*(I57/$I$14)^$AA$56)*$J$14</f>
        <v>11.154471439461101</v>
      </c>
      <c r="K57" s="59">
        <f>L57-8</f>
        <v>43</v>
      </c>
      <c r="L57" s="53">
        <f t="shared" si="46"/>
        <v>51</v>
      </c>
      <c r="M57" s="46">
        <f t="shared" si="46"/>
        <v>25</v>
      </c>
      <c r="N57" s="64">
        <f>AD57*Cubics</f>
        <v>546</v>
      </c>
      <c r="O57" s="253">
        <f>((($D57/Watts)/(((p_atm*0.028964)/(8.31447*(20+273.15)))*(($N57/3600)/Cubics)*(1005+1870*((0.622)/(((p_atm)/($E$12*Pvs_Heat_in))-1)))))+Tl_heat)*Celc1+Celc2</f>
        <v>69.423803578484595</v>
      </c>
      <c r="P57" s="254">
        <f>(Tl_cool-(($G57/Watts)/(1006*$N57*kgss)))*Celc1+Celc2</f>
        <v>18.46504387406474</v>
      </c>
      <c r="Q57" s="220">
        <v>1</v>
      </c>
      <c r="R57" s="113">
        <f t="shared" si="4"/>
        <v>0.77110000000000001</v>
      </c>
      <c r="S57" s="194">
        <v>0</v>
      </c>
      <c r="T57" s="194">
        <v>0</v>
      </c>
      <c r="U57" s="113">
        <v>0.77110000000000001</v>
      </c>
      <c r="V57" s="194">
        <v>0</v>
      </c>
      <c r="W57" s="171">
        <f>(H57-G57)/H57</f>
        <v>0</v>
      </c>
      <c r="X57" s="127">
        <f t="shared" si="5"/>
        <v>9193.3335961037646</v>
      </c>
      <c r="Y57" s="128">
        <f t="shared" si="6"/>
        <v>0</v>
      </c>
      <c r="Z57" s="129">
        <f t="shared" si="7"/>
        <v>1567.8911276331014</v>
      </c>
      <c r="AA57" s="128">
        <f t="shared" si="8"/>
        <v>0</v>
      </c>
      <c r="AB57" s="130">
        <f t="shared" si="9"/>
        <v>51</v>
      </c>
      <c r="AC57" s="130">
        <f t="shared" si="10"/>
        <v>25</v>
      </c>
      <c r="AD57" s="131">
        <f t="shared" si="11"/>
        <v>546</v>
      </c>
      <c r="AE57" s="76"/>
      <c r="AF57" s="77"/>
      <c r="AG57" s="78"/>
      <c r="AH57" s="77"/>
      <c r="AI57" s="79"/>
      <c r="AJ57" s="79"/>
      <c r="AK57" s="80"/>
      <c r="AL57" s="76"/>
      <c r="AM57" s="77"/>
      <c r="AN57" s="78"/>
      <c r="AO57" s="77"/>
      <c r="AP57" s="79"/>
      <c r="AQ57" s="79"/>
      <c r="AR57" s="80"/>
      <c r="AS57" s="73"/>
      <c r="AT57" s="73"/>
      <c r="AU57" s="73"/>
      <c r="AV57" s="73"/>
      <c r="AW57" s="186"/>
      <c r="AX57" s="187"/>
      <c r="AY57" s="188"/>
      <c r="AZ57" s="187"/>
      <c r="BA57" s="189"/>
      <c r="BB57" s="189"/>
      <c r="BC57" s="190"/>
      <c r="BD57" s="76">
        <v>6080.3311499999982</v>
      </c>
      <c r="BE57" s="77"/>
      <c r="BF57" s="78">
        <v>1543.9379947130431</v>
      </c>
      <c r="BG57" s="77"/>
      <c r="BH57" s="79">
        <v>51</v>
      </c>
      <c r="BI57" s="79">
        <v>25</v>
      </c>
      <c r="BJ57" s="80">
        <v>546</v>
      </c>
      <c r="BK57" s="76">
        <v>9193.3335961037646</v>
      </c>
      <c r="BL57" s="77"/>
      <c r="BM57" s="78">
        <v>1567.8911276331014</v>
      </c>
      <c r="BN57" s="77"/>
      <c r="BO57" s="79">
        <f t="shared" si="47"/>
        <v>51</v>
      </c>
      <c r="BP57" s="79">
        <f t="shared" si="47"/>
        <v>25</v>
      </c>
      <c r="BQ57" s="80">
        <f t="shared" si="47"/>
        <v>546</v>
      </c>
      <c r="BR57" s="73"/>
      <c r="BS57" s="76"/>
      <c r="BT57" s="77"/>
      <c r="BU57" s="78"/>
      <c r="BV57" s="77"/>
      <c r="BW57" s="79"/>
      <c r="BX57" s="79"/>
      <c r="BY57" s="80"/>
      <c r="BZ57" s="76"/>
      <c r="CA57" s="77"/>
      <c r="CB57" s="78"/>
      <c r="CC57" s="77"/>
      <c r="CD57" s="79"/>
      <c r="CE57" s="79"/>
      <c r="CF57" s="80"/>
      <c r="CW57" s="49">
        <f t="shared" si="45"/>
        <v>1</v>
      </c>
      <c r="CX57" s="49">
        <f t="shared" si="17"/>
        <v>1567.8911276331014</v>
      </c>
      <c r="CY57" s="263">
        <f t="shared" si="18"/>
        <v>0</v>
      </c>
      <c r="CZ57" s="49">
        <f t="shared" si="19"/>
        <v>1</v>
      </c>
    </row>
    <row r="58" spans="2:104" ht="15" x14ac:dyDescent="0.25">
      <c r="B58" s="326" t="str">
        <f>IF($S$7=1,NL!A57,IF(cal!$S$7=2,EN!A57,IF(cal!$S$7=3,DE!A57,IF(cal!$S$7=4,FR!A57,IF(cal!$S$7=5,NR!A57,IF(cal!$S$7=6,SP!A57,IF(cal!$S$7=7,SW!A57,IF(cal!$S$7=8,TS!A57,IF(cal!$S$7=9,ExtraTaal1!A57,IF(cal!$S$7=10,ExtraTaal2!A57,IF(cal!$S$7=11,ExtraTaal3!A57,)))))))))))</f>
        <v>Clima Canal height 13 cm width 32 cm length 280 cm (Type 8)</v>
      </c>
      <c r="C58" s="327">
        <f>IF($S$7=1,NL!B57,IF(cal!$S$7=2,EN!B57,IF(cal!$S$7=3,DE!B57,IF(cal!$S$7=4,FR!B57,IF(cal!$S$7=5,NR!B57,IF(cal!$S$7=6,SP!B57,IF(cal!$S$7=7,SW!B57,IF(cal!$S$7=8,TS!B57,IF(cal!$S$7=9,ExtraTaal1!B57,IF(cal!$S$7=10,ExtraTaal2!B57,IF(cal!$S$7=11,ExtraTaal3!B57,)))))))))))</f>
        <v>0</v>
      </c>
      <c r="D58" s="327">
        <f>IF($S$7=1,NL!C57,IF(cal!$S$7=2,EN!C57,IF(cal!$S$7=3,DE!C57,IF(cal!$S$7=4,FR!C57,IF(cal!$S$7=5,NR!C57,IF(cal!$S$7=6,SP!C57,IF(cal!$S$7=7,SW!C57,IF(cal!$S$7=8,TS!C57,IF(cal!$S$7=9,ExtraTaal1!C57,IF(cal!$S$7=10,ExtraTaal2!C57,IF(cal!$S$7=11,ExtraTaal3!C57,)))))))))))</f>
        <v>0</v>
      </c>
      <c r="E58" s="327">
        <f>IF($S$7=1,NL!D57,IF(cal!$S$7=2,EN!D57,IF(cal!$S$7=3,DE!D57,IF(cal!$S$7=4,FR!D57,IF(cal!$S$7=5,NR!D57,IF(cal!$S$7=6,SP!D57,IF(cal!$S$7=7,SW!D57,IF(cal!$S$7=8,TS!D57,IF(cal!$S$7=9,ExtraTaal1!D57,IF(cal!$S$7=10,ExtraTaal2!D57,IF(cal!$S$7=11,ExtraTaal3!D57,)))))))))))</f>
        <v>0</v>
      </c>
      <c r="F58" s="327">
        <f>IF($S$7=1,NL!E57,IF(cal!$S$7=2,EN!E57,IF(cal!$S$7=3,DE!E57,IF(cal!$S$7=4,FR!E57,IF(cal!$S$7=5,NR!E57,IF(cal!$S$7=6,SP!E57,IF(cal!$S$7=7,SW!E57,IF(cal!$S$7=8,TS!E57,IF(cal!$S$7=9,ExtraTaal1!E57,IF(cal!$S$7=10,ExtraTaal2!E57,IF(cal!$S$7=11,ExtraTaal3!E57,)))))))))))</f>
        <v>0</v>
      </c>
      <c r="G58" s="327">
        <f>IF($S$7=1,NL!F57,IF(cal!$S$7=2,EN!F57,IF(cal!$S$7=3,DE!F57,IF(cal!$S$7=4,FR!F57,IF(cal!$S$7=5,NR!F57,IF(cal!$S$7=6,SP!F57,IF(cal!$S$7=7,SW!F57,IF(cal!$S$7=8,TS!F57,IF(cal!$S$7=9,ExtraTaal1!F57,IF(cal!$S$7=10,ExtraTaal2!F57,IF(cal!$S$7=11,ExtraTaal3!F57,)))))))))))</f>
        <v>0</v>
      </c>
      <c r="H58" s="327">
        <f>IF($S$7=1,NL!G57,IF(cal!$S$7=2,EN!G57,IF(cal!$S$7=3,DE!G57,IF(cal!$S$7=4,FR!G57,IF(cal!$S$7=5,NR!G57,IF(cal!$S$7=6,SP!G57,IF(cal!$S$7=7,SW!G57,IF(cal!$S$7=8,TS!G57,IF(cal!$S$7=9,ExtraTaal1!G57,IF(cal!$S$7=10,ExtraTaal2!G57,IF(cal!$S$7=11,ExtraTaal3!G57,)))))))))))</f>
        <v>0</v>
      </c>
      <c r="I58" s="327">
        <f>IF($S$7=1,NL!H57,IF(cal!$S$7=2,EN!H57,IF(cal!$S$7=3,DE!H57,IF(cal!$S$7=4,FR!H57,IF(cal!$S$7=5,NR!H57,IF(cal!$S$7=6,SP!H57,IF(cal!$S$7=7,SW!H57,IF(cal!$S$7=8,TS!H57,IF(cal!$S$7=9,ExtraTaal1!H57,IF(cal!$S$7=10,ExtraTaal2!H57,IF(cal!$S$7=11,ExtraTaal3!H57,)))))))))))</f>
        <v>0</v>
      </c>
      <c r="J58" s="327">
        <f>IF($S$7=1,NL!I57,IF(cal!$S$7=2,EN!I57,IF(cal!$S$7=3,DE!I57,IF(cal!$S$7=4,FR!I57,IF(cal!$S$7=5,NR!I57,IF(cal!$S$7=6,SP!I57,IF(cal!$S$7=7,SW!I57,IF(cal!$S$7=8,TS!I57,IF(cal!$S$7=9,ExtraTaal1!I57,IF(cal!$S$7=10,ExtraTaal2!I57,IF(cal!$S$7=11,ExtraTaal3!I57,)))))))))))</f>
        <v>0</v>
      </c>
      <c r="K58" s="327">
        <f>IF($S$7=1,NL!J57,IF(cal!$S$7=2,EN!J57,IF(cal!$S$7=3,DE!J57,IF(cal!$S$7=4,FR!J57,IF(cal!$S$7=5,NR!J57,IF(cal!$S$7=6,SP!J57,IF(cal!$S$7=7,SW!J57,IF(cal!$S$7=8,TS!J57,IF(cal!$S$7=9,ExtraTaal1!J57,IF(cal!$S$7=10,ExtraTaal2!J57,IF(cal!$S$7=11,ExtraTaal3!J57,)))))))))))</f>
        <v>0</v>
      </c>
      <c r="L58" s="327">
        <f>IF($S$7=1,NL!K57,IF(cal!$S$7=2,EN!K57,IF(cal!$S$7=3,DE!K57,IF(cal!$S$7=4,FR!K57,IF(cal!$S$7=5,NR!K57,IF(cal!$S$7=6,SP!K57,IF(cal!$S$7=7,SW!K57,IF(cal!$S$7=8,TS!K57,IF(cal!$S$7=9,ExtraTaal1!K57,IF(cal!$S$7=10,ExtraTaal2!K57,IF(cal!$S$7=11,ExtraTaal3!K57,)))))))))))</f>
        <v>0</v>
      </c>
      <c r="M58" s="327">
        <f>IF($S$7=1,NL!L57,IF(cal!$S$7=2,EN!L57,IF(cal!$S$7=3,DE!L57,IF(cal!$S$7=4,FR!L57,IF(cal!$S$7=5,NR!L57,IF(cal!$S$7=6,SP!L57,IF(cal!$S$7=7,SW!L57,IF(cal!$S$7=8,TS!L57,IF(cal!$S$7=9,ExtraTaal1!L57,IF(cal!$S$7=10,ExtraTaal2!L57,IF(cal!$S$7=11,ExtraTaal3!L57,)))))))))))</f>
        <v>0</v>
      </c>
      <c r="N58" s="327">
        <f>IF($S$7=1,NL!M57,IF(cal!$S$7=2,EN!M57,IF(cal!$S$7=3,DE!M57,IF(cal!$S$7=4,FR!M57,IF(cal!$S$7=5,NR!M57,IF(cal!$S$7=6,SP!M57,IF(cal!$S$7=7,SW!M57,IF(cal!$S$7=8,TS!M57,IF(cal!$S$7=9,ExtraTaal1!M57,IF(cal!$S$7=10,ExtraTaal2!M57,IF(cal!$S$7=11,ExtraTaal3!M57,)))))))))))</f>
        <v>0</v>
      </c>
      <c r="O58" s="327">
        <f>IF($S$7=1,NL!N57,IF(cal!$S$7=2,EN!N57,IF(cal!$S$7=3,DE!N57,IF(cal!$S$7=4,FR!N57,IF(cal!$S$7=5,NR!N57,IF(cal!$S$7=6,SP!N57,IF(cal!$S$7=7,SW!N57,IF(cal!$S$7=8,TS!N57,IF(cal!$S$7=9,ExtraTaal1!N57,IF(cal!$S$7=10,ExtraTaal2!N57,IF(cal!$S$7=11,ExtraTaal3!N57,)))))))))))</f>
        <v>0</v>
      </c>
      <c r="P58" s="328">
        <f>IF($S$7=1,NL!O57,IF(cal!$S$7=2,EN!O57,IF(cal!$S$7=3,DE!O57,IF(cal!$S$7=4,FR!O57,IF(cal!$S$7=5,NR!O57,IF(cal!$S$7=6,SP!O57,IF(cal!$S$7=7,SW!O57,IF(cal!$S$7=8,TS!O57,IF(cal!$S$7=9,ExtraTaal1!O57,IF(cal!$S$7=10,ExtraTaal2!O57,IF(cal!$S$7=11,ExtraTaal3!O57,)))))))))))</f>
        <v>0</v>
      </c>
      <c r="Q58" s="209" t="s">
        <v>11</v>
      </c>
      <c r="R58" s="113" t="str">
        <f t="shared" si="4"/>
        <v>n-value</v>
      </c>
      <c r="S58" s="195" t="s">
        <v>11</v>
      </c>
      <c r="T58" s="195" t="s">
        <v>11</v>
      </c>
      <c r="U58" s="196" t="s">
        <v>11</v>
      </c>
      <c r="V58" s="195" t="s">
        <v>11</v>
      </c>
      <c r="W58" s="171"/>
      <c r="X58" s="132" t="str">
        <f t="shared" si="5"/>
        <v>H</v>
      </c>
      <c r="Y58" s="133">
        <f t="shared" si="6"/>
        <v>13</v>
      </c>
      <c r="Z58" s="132" t="str">
        <f t="shared" si="7"/>
        <v>B</v>
      </c>
      <c r="AA58" s="133">
        <f t="shared" si="8"/>
        <v>32</v>
      </c>
      <c r="AB58" s="132" t="str">
        <f t="shared" si="9"/>
        <v>L</v>
      </c>
      <c r="AC58" s="137">
        <f t="shared" si="10"/>
        <v>230</v>
      </c>
      <c r="AD58" s="135">
        <f t="shared" si="11"/>
        <v>0</v>
      </c>
      <c r="AE58" s="83"/>
      <c r="AF58" s="84"/>
      <c r="AG58" s="83"/>
      <c r="AH58" s="84"/>
      <c r="AI58" s="83"/>
      <c r="AJ58" s="84"/>
      <c r="AK58" s="82"/>
      <c r="AL58" s="83"/>
      <c r="AM58" s="84"/>
      <c r="AN58" s="83"/>
      <c r="AO58" s="84"/>
      <c r="AP58" s="83"/>
      <c r="AQ58" s="84"/>
      <c r="AR58" s="82"/>
      <c r="AS58" s="86"/>
      <c r="AT58" s="86"/>
      <c r="AU58" s="86"/>
      <c r="AV58" s="86"/>
      <c r="AW58" s="191"/>
      <c r="AX58" s="192"/>
      <c r="AY58" s="191"/>
      <c r="AZ58" s="192"/>
      <c r="BA58" s="191"/>
      <c r="BB58" s="192"/>
      <c r="BC58" s="193"/>
      <c r="BD58" s="83" t="s">
        <v>61</v>
      </c>
      <c r="BE58" s="84">
        <f>BE22</f>
        <v>13</v>
      </c>
      <c r="BF58" s="83" t="s">
        <v>62</v>
      </c>
      <c r="BG58" s="84">
        <f>BG22</f>
        <v>32</v>
      </c>
      <c r="BH58" s="83" t="s">
        <v>63</v>
      </c>
      <c r="BI58" s="84">
        <f>IF($X$4=1,230,230/2.54)</f>
        <v>230</v>
      </c>
      <c r="BJ58" s="82"/>
      <c r="BK58" s="83" t="s">
        <v>61</v>
      </c>
      <c r="BL58" s="84">
        <f>BL22</f>
        <v>13</v>
      </c>
      <c r="BM58" s="83" t="s">
        <v>62</v>
      </c>
      <c r="BN58" s="84">
        <f>BN22</f>
        <v>32</v>
      </c>
      <c r="BO58" s="83" t="s">
        <v>63</v>
      </c>
      <c r="BP58" s="84">
        <f>IF($X$4=1,230,230/2.54)</f>
        <v>230</v>
      </c>
      <c r="BQ58" s="82"/>
      <c r="BR58" s="86"/>
      <c r="BS58" s="83"/>
      <c r="BT58" s="84"/>
      <c r="BU58" s="83"/>
      <c r="BV58" s="84"/>
      <c r="BW58" s="83"/>
      <c r="BX58" s="84"/>
      <c r="BY58" s="82"/>
      <c r="BZ58" s="83"/>
      <c r="CA58" s="84"/>
      <c r="CB58" s="83"/>
      <c r="CC58" s="84"/>
      <c r="CD58" s="83"/>
      <c r="CE58" s="84"/>
      <c r="CF58" s="82"/>
      <c r="CW58" s="49">
        <f t="shared" si="45"/>
        <v>1</v>
      </c>
      <c r="CX58" s="49">
        <f t="shared" si="17"/>
        <v>0</v>
      </c>
      <c r="CY58" s="263">
        <f t="shared" si="18"/>
        <v>0</v>
      </c>
      <c r="CZ58" s="49">
        <f t="shared" si="19"/>
        <v>1</v>
      </c>
    </row>
    <row r="59" spans="2:104" ht="15" x14ac:dyDescent="0.25">
      <c r="B59" s="33">
        <v>0.2</v>
      </c>
      <c r="C59" s="3">
        <v>2</v>
      </c>
      <c r="D59" s="27">
        <f>(X59*($T$11^$Q59))*Watts*CF_Altit</f>
        <v>2273.4967277858427</v>
      </c>
      <c r="E59" s="3">
        <f>ROUND(((D59/Watts)/(($S$9-$S$10)*1.163))*$E$14,IF($X$4=1,0,IF($X$4=2,2)))</f>
        <v>195</v>
      </c>
      <c r="F59" s="30">
        <f>($Y$66*(E59/$E$14)^$Y$68)*$F$14</f>
        <v>1.4135103689709119</v>
      </c>
      <c r="G59" s="4">
        <f>(Z59*($W$11^R59))*Watts*CF_Altit</f>
        <v>489.22691229498605</v>
      </c>
      <c r="H59" s="4">
        <f>((G59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59+0.001448)*(Tl_cool-Tavg_cold)+(0.016908*$C59-0.033574))*1.039&gt;1,1,1/(1+((2258*((0.622/(($Z$11/(1*611*EXP(17.27*(Tavg_cold/(Tavg_cold+237.3))))))-1)*1000-(0.622/(($Z$11/(RH*611*EXP(17.27*(Tl_cool/(Tl_cool+237.3))))))-1)*1000))/(1005*(Tavg_cold-Tl_cool))))*1.039+((-0.000729*$C59+0.001448)*(Tl_cool-Tavg_cold)+(0.016908*$C59-0.033574))*1.039))))*Watts</f>
        <v>489.22691229498605</v>
      </c>
      <c r="I59" s="3">
        <f>ROUND(((H59/Watts)/((Tr_cool-Tv_cool)*1.163))*$I$14,IF($X$4=1,0,IF($X$4=2,2)))</f>
        <v>210</v>
      </c>
      <c r="J59" s="5">
        <f>($AA$60*(I59/$I$14)^$AA$62)*$J$14</f>
        <v>1.5629942205059051</v>
      </c>
      <c r="K59" s="59">
        <f>L59-8</f>
        <v>24</v>
      </c>
      <c r="L59" s="53">
        <f t="shared" ref="L59:M63" si="48">AB59</f>
        <v>32</v>
      </c>
      <c r="M59" s="46">
        <f t="shared" si="48"/>
        <v>4.0999999999999996</v>
      </c>
      <c r="N59" s="64">
        <f>AD59*Cubics</f>
        <v>133</v>
      </c>
      <c r="O59" s="251">
        <f>((($D59/Watts)/(((p_atm*0.028964)/(8.31447*(20+273.15)))*(($N59/3600)/Cubics)*(1005+1870*((0.622)/(((p_atm)/($E$12*Pvs_Heat_in))-1)))))+Tl_heat)*Celc1+Celc2</f>
        <v>70.176282364606365</v>
      </c>
      <c r="P59" s="252">
        <f>(Tl_cool-(($G59/Watts)/(1006*$N59*kgss)))*Celc1+Celc2</f>
        <v>16.067065866845532</v>
      </c>
      <c r="Q59" s="220">
        <v>1</v>
      </c>
      <c r="R59" s="113">
        <f t="shared" si="4"/>
        <v>0.78069999999999995</v>
      </c>
      <c r="S59" s="194">
        <v>0</v>
      </c>
      <c r="T59" s="194">
        <v>0</v>
      </c>
      <c r="U59" s="113">
        <v>0.78069999999999995</v>
      </c>
      <c r="V59" s="194">
        <v>0</v>
      </c>
      <c r="W59" s="171">
        <f>(H59-G59)/H59</f>
        <v>0</v>
      </c>
      <c r="X59" s="118">
        <f t="shared" si="5"/>
        <v>2273.4967277858427</v>
      </c>
      <c r="Y59" s="119" t="str">
        <f t="shared" si="6"/>
        <v>a</v>
      </c>
      <c r="Z59" s="120">
        <f t="shared" si="7"/>
        <v>489.22691229498605</v>
      </c>
      <c r="AA59" s="119" t="str">
        <f t="shared" si="8"/>
        <v>a</v>
      </c>
      <c r="AB59" s="121">
        <f t="shared" si="9"/>
        <v>32</v>
      </c>
      <c r="AC59" s="121">
        <f t="shared" si="10"/>
        <v>4.0999999999999996</v>
      </c>
      <c r="AD59" s="122">
        <f t="shared" si="11"/>
        <v>133</v>
      </c>
      <c r="AE59" s="67"/>
      <c r="AF59" s="68"/>
      <c r="AG59" s="69"/>
      <c r="AH59" s="68"/>
      <c r="AI59" s="70"/>
      <c r="AJ59" s="70"/>
      <c r="AK59" s="71"/>
      <c r="AL59" s="67"/>
      <c r="AM59" s="68"/>
      <c r="AN59" s="69"/>
      <c r="AO59" s="68"/>
      <c r="AP59" s="70"/>
      <c r="AQ59" s="70"/>
      <c r="AR59" s="71"/>
      <c r="AS59" s="73"/>
      <c r="AT59" s="73"/>
      <c r="AU59" s="73"/>
      <c r="AV59" s="73"/>
      <c r="AW59" s="177"/>
      <c r="AX59" s="178"/>
      <c r="AY59" s="179"/>
      <c r="AZ59" s="178"/>
      <c r="BA59" s="180"/>
      <c r="BB59" s="180"/>
      <c r="BC59" s="181"/>
      <c r="BD59" s="67">
        <v>1950.3814299999999</v>
      </c>
      <c r="BE59" s="68" t="s">
        <v>49</v>
      </c>
      <c r="BF59" s="69">
        <v>469.72609391831105</v>
      </c>
      <c r="BG59" s="68" t="s">
        <v>49</v>
      </c>
      <c r="BH59" s="70">
        <v>32</v>
      </c>
      <c r="BI59" s="70">
        <v>4.0999999999999996</v>
      </c>
      <c r="BJ59" s="71">
        <v>133</v>
      </c>
      <c r="BK59" s="67">
        <v>2273.4967277858427</v>
      </c>
      <c r="BL59" s="68" t="s">
        <v>49</v>
      </c>
      <c r="BM59" s="69">
        <v>489.22691229498605</v>
      </c>
      <c r="BN59" s="68" t="s">
        <v>49</v>
      </c>
      <c r="BO59" s="70">
        <f t="shared" ref="BO59:BQ63" si="49">BH59</f>
        <v>32</v>
      </c>
      <c r="BP59" s="70">
        <f t="shared" si="49"/>
        <v>4.0999999999999996</v>
      </c>
      <c r="BQ59" s="71">
        <f t="shared" si="49"/>
        <v>133</v>
      </c>
      <c r="BR59" s="73"/>
      <c r="BS59" s="67"/>
      <c r="BT59" s="68"/>
      <c r="BU59" s="69"/>
      <c r="BV59" s="68"/>
      <c r="BW59" s="70"/>
      <c r="BX59" s="70"/>
      <c r="BY59" s="71"/>
      <c r="BZ59" s="67"/>
      <c r="CA59" s="68"/>
      <c r="CB59" s="69"/>
      <c r="CC59" s="68"/>
      <c r="CD59" s="70"/>
      <c r="CE59" s="70"/>
      <c r="CF59" s="71"/>
      <c r="CW59" s="49">
        <f t="shared" si="45"/>
        <v>1</v>
      </c>
      <c r="CX59" s="49">
        <f t="shared" si="17"/>
        <v>489.22691229498605</v>
      </c>
      <c r="CY59" s="263">
        <f t="shared" si="18"/>
        <v>0</v>
      </c>
      <c r="CZ59" s="49">
        <f t="shared" si="19"/>
        <v>1</v>
      </c>
    </row>
    <row r="60" spans="2:104" ht="15" x14ac:dyDescent="0.25">
      <c r="B60" s="33">
        <v>0.4</v>
      </c>
      <c r="C60" s="3">
        <v>4</v>
      </c>
      <c r="D60" s="27">
        <f>(X60*($T$11^$Q60))*Watts*CF_Altit</f>
        <v>5028.227110289582</v>
      </c>
      <c r="E60" s="3">
        <f>ROUND(((D60/Watts)/(($S$9-$S$10)*1.163))*$E$14,IF($X$4=1,0,IF($X$4=2,2)))</f>
        <v>432</v>
      </c>
      <c r="F60" s="30">
        <f>($Y$66*(E60/$E$14)^$Y$68)*$F$14</f>
        <v>5.9660893060532398</v>
      </c>
      <c r="G60" s="4">
        <f>(Z60*($W$11^R60))*Watts*CF_Altit</f>
        <v>888.31333310985553</v>
      </c>
      <c r="H60" s="4">
        <f>((G60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60+0.001448)*(Tl_cool-Tavg_cold)+(0.016908*$C60-0.033574))*1.039&gt;1,1,1/(1+((2258*((0.622/(($Z$11/(1*611*EXP(17.27*(Tavg_cold/(Tavg_cold+237.3))))))-1)*1000-(0.622/(($Z$11/(RH*611*EXP(17.27*(Tl_cool/(Tl_cool+237.3))))))-1)*1000))/(1005*(Tavg_cold-Tl_cool))))*1.039+((-0.000729*$C60+0.001448)*(Tl_cool-Tavg_cold)+(0.016908*$C60-0.033574))*1.039))))*Watts</f>
        <v>888.31333310985553</v>
      </c>
      <c r="I60" s="3">
        <f>ROUND(((H60/Watts)/((Tr_cool-Tv_cool)*1.163))*$I$14,IF($X$4=1,0,IF($X$4=2,2)))</f>
        <v>382</v>
      </c>
      <c r="J60" s="5">
        <f>($AA$60*(I60/$I$14)^$AA$62)*$J$14</f>
        <v>4.6212966971296909</v>
      </c>
      <c r="K60" s="59">
        <f>L60-8</f>
        <v>29.5</v>
      </c>
      <c r="L60" s="53">
        <f t="shared" si="48"/>
        <v>37.5</v>
      </c>
      <c r="M60" s="46">
        <f t="shared" si="48"/>
        <v>7.1</v>
      </c>
      <c r="N60" s="64">
        <f>AD60*Cubics</f>
        <v>272</v>
      </c>
      <c r="O60" s="253">
        <f>((($D60/Watts)/(((p_atm*0.028964)/(8.31447*(20+273.15)))*(($N60/3600)/Cubics)*(1005+1870*((0.622)/(((p_atm)/($E$12*Pvs_Heat_in))-1)))))+Tl_heat)*Celc1+Celc2</f>
        <v>74.262746206739706</v>
      </c>
      <c r="P60" s="254">
        <f>(Tl_cool-(($G60/Watts)/(1006*$N60*kgss)))*Celc1+Celc2</f>
        <v>17.293217247729288</v>
      </c>
      <c r="Q60" s="220">
        <v>1</v>
      </c>
      <c r="R60" s="113">
        <f t="shared" si="4"/>
        <v>0.85870000000000002</v>
      </c>
      <c r="S60" s="194">
        <v>0</v>
      </c>
      <c r="T60" s="194">
        <v>0</v>
      </c>
      <c r="U60" s="113">
        <v>0.85870000000000002</v>
      </c>
      <c r="V60" s="194">
        <v>0</v>
      </c>
      <c r="W60" s="171">
        <f>(H60-G60)/H60</f>
        <v>0</v>
      </c>
      <c r="X60" s="123">
        <f t="shared" si="5"/>
        <v>5028.227110289582</v>
      </c>
      <c r="Y60" s="124">
        <f t="shared" si="6"/>
        <v>9.6910939216495503E-5</v>
      </c>
      <c r="Z60" s="124">
        <f t="shared" si="7"/>
        <v>888.31333310985553</v>
      </c>
      <c r="AA60" s="124">
        <f t="shared" si="8"/>
        <v>9.6910939216495503E-5</v>
      </c>
      <c r="AB60" s="125">
        <f t="shared" si="9"/>
        <v>37.5</v>
      </c>
      <c r="AC60" s="125">
        <f t="shared" si="10"/>
        <v>7.1</v>
      </c>
      <c r="AD60" s="126">
        <f t="shared" si="11"/>
        <v>272</v>
      </c>
      <c r="AE60" s="72"/>
      <c r="AF60" s="73"/>
      <c r="AG60" s="73"/>
      <c r="AH60" s="73"/>
      <c r="AI60" s="74"/>
      <c r="AJ60" s="74"/>
      <c r="AK60" s="75"/>
      <c r="AL60" s="72"/>
      <c r="AM60" s="73"/>
      <c r="AN60" s="73"/>
      <c r="AO60" s="73"/>
      <c r="AP60" s="74"/>
      <c r="AQ60" s="74"/>
      <c r="AR60" s="75"/>
      <c r="AS60" s="73"/>
      <c r="AT60" s="73"/>
      <c r="AU60" s="73"/>
      <c r="AV60" s="73"/>
      <c r="AW60" s="182"/>
      <c r="AX60" s="183"/>
      <c r="AY60" s="183"/>
      <c r="AZ60" s="183"/>
      <c r="BA60" s="184"/>
      <c r="BB60" s="184"/>
      <c r="BC60" s="185"/>
      <c r="BD60" s="72">
        <v>3889.7225699999995</v>
      </c>
      <c r="BE60" s="73">
        <v>1.18103E-4</v>
      </c>
      <c r="BF60" s="73">
        <v>853.03889662838037</v>
      </c>
      <c r="BG60" s="73">
        <v>2.1811428519254933E-5</v>
      </c>
      <c r="BH60" s="74">
        <v>37.5</v>
      </c>
      <c r="BI60" s="74">
        <v>7.1</v>
      </c>
      <c r="BJ60" s="75">
        <v>272</v>
      </c>
      <c r="BK60" s="72">
        <v>5028.227110289582</v>
      </c>
      <c r="BL60" s="73">
        <v>9.6910939216495503E-5</v>
      </c>
      <c r="BM60" s="73">
        <v>888.31333310985553</v>
      </c>
      <c r="BN60" s="73">
        <f>BL60</f>
        <v>9.6910939216495503E-5</v>
      </c>
      <c r="BO60" s="74">
        <f t="shared" si="49"/>
        <v>37.5</v>
      </c>
      <c r="BP60" s="74">
        <f t="shared" si="49"/>
        <v>7.1</v>
      </c>
      <c r="BQ60" s="75">
        <f t="shared" si="49"/>
        <v>272</v>
      </c>
      <c r="BR60" s="73"/>
      <c r="BS60" s="72"/>
      <c r="BT60" s="73"/>
      <c r="BU60" s="73"/>
      <c r="BV60" s="73"/>
      <c r="BW60" s="74"/>
      <c r="BX60" s="74"/>
      <c r="BY60" s="75"/>
      <c r="BZ60" s="72"/>
      <c r="CA60" s="73"/>
      <c r="CB60" s="73"/>
      <c r="CC60" s="73"/>
      <c r="CD60" s="74"/>
      <c r="CE60" s="74"/>
      <c r="CF60" s="75"/>
      <c r="CW60" s="49">
        <f t="shared" si="45"/>
        <v>1</v>
      </c>
      <c r="CX60" s="49">
        <f t="shared" si="17"/>
        <v>888.31333310985553</v>
      </c>
      <c r="CY60" s="263">
        <f t="shared" si="18"/>
        <v>0</v>
      </c>
      <c r="CZ60" s="49">
        <f t="shared" si="19"/>
        <v>1</v>
      </c>
    </row>
    <row r="61" spans="2:104" ht="15" x14ac:dyDescent="0.25">
      <c r="B61" s="33">
        <v>0.6</v>
      </c>
      <c r="C61" s="3">
        <v>6</v>
      </c>
      <c r="D61" s="27">
        <f>(X61*($T$11^$Q61))*Watts*CF_Altit</f>
        <v>7495.6997819981552</v>
      </c>
      <c r="E61" s="3">
        <f>ROUND(((D61/Watts)/(($S$9-$S$10)*1.163))*$E$14,IF($X$4=1,0,IF($X$4=2,2)))</f>
        <v>645</v>
      </c>
      <c r="F61" s="30">
        <f>($Y$66*(E61/$E$14)^$Y$68)*$F$14</f>
        <v>12.326269528637294</v>
      </c>
      <c r="G61" s="4">
        <f>(Z61*($W$11^R61))*Watts*CF_Altit</f>
        <v>1268.6428136481286</v>
      </c>
      <c r="H61" s="4">
        <f>((G61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61+0.001448)*(Tl_cool-Tavg_cold)+(0.016908*$C61-0.033574))*1.039&gt;1,1,1/(1+((2258*((0.622/(($Z$11/(1*611*EXP(17.27*(Tavg_cold/(Tavg_cold+237.3))))))-1)*1000-(0.622/(($Z$11/(RH*611*EXP(17.27*(Tl_cool/(Tl_cool+237.3))))))-1)*1000))/(1005*(Tavg_cold-Tl_cool))))*1.039+((-0.000729*$C61+0.001448)*(Tl_cool-Tavg_cold)+(0.016908*$C61-0.033574))*1.039))))*Watts</f>
        <v>1268.6428136481286</v>
      </c>
      <c r="I61" s="3">
        <f>ROUND(((H61/Watts)/((Tr_cool-Tv_cool)*1.163))*$I$14,IF($X$4=1,0,IF($X$4=2,2)))</f>
        <v>545</v>
      </c>
      <c r="J61" s="5">
        <f>($AA$60*(I61/$I$14)^$AA$62)*$J$14</f>
        <v>8.7982663478166856</v>
      </c>
      <c r="K61" s="59">
        <f>L61-8</f>
        <v>34</v>
      </c>
      <c r="L61" s="53">
        <f t="shared" si="48"/>
        <v>42</v>
      </c>
      <c r="M61" s="46">
        <f t="shared" si="48"/>
        <v>12.7</v>
      </c>
      <c r="N61" s="64">
        <f>AD61*Cubics</f>
        <v>433</v>
      </c>
      <c r="O61" s="253">
        <f>((($D61/Watts)/(((p_atm*0.028964)/(8.31447*(20+273.15)))*(($N61/3600)/Cubics)*(1005+1870*((0.622)/(((p_atm)/($E$12*Pvs_Heat_in))-1)))))+Tl_heat)*Celc1+Celc2</f>
        <v>70.81361299987293</v>
      </c>
      <c r="P61" s="254">
        <f>(Tl_cool-(($G61/Watts)/(1006*$N61*kgss)))*Celc1+Celc2</f>
        <v>18.29177783091361</v>
      </c>
      <c r="Q61" s="220">
        <v>1</v>
      </c>
      <c r="R61" s="113">
        <f t="shared" si="4"/>
        <v>0.8831</v>
      </c>
      <c r="S61" s="194">
        <v>0</v>
      </c>
      <c r="T61" s="194">
        <v>0</v>
      </c>
      <c r="U61" s="113">
        <v>0.8831</v>
      </c>
      <c r="V61" s="194">
        <v>0</v>
      </c>
      <c r="W61" s="171">
        <f>(H61-G61)/H61</f>
        <v>0</v>
      </c>
      <c r="X61" s="123">
        <f t="shared" si="5"/>
        <v>7495.6997819981552</v>
      </c>
      <c r="Y61" s="119" t="str">
        <f t="shared" si="6"/>
        <v>b</v>
      </c>
      <c r="Z61" s="124">
        <f t="shared" si="7"/>
        <v>1268.6428136481286</v>
      </c>
      <c r="AA61" s="119" t="str">
        <f t="shared" si="8"/>
        <v>b</v>
      </c>
      <c r="AB61" s="125">
        <f t="shared" si="9"/>
        <v>42</v>
      </c>
      <c r="AC61" s="125">
        <f t="shared" si="10"/>
        <v>12.7</v>
      </c>
      <c r="AD61" s="126">
        <f t="shared" si="11"/>
        <v>433</v>
      </c>
      <c r="AE61" s="72"/>
      <c r="AF61" s="68"/>
      <c r="AG61" s="73"/>
      <c r="AH61" s="68"/>
      <c r="AI61" s="74"/>
      <c r="AJ61" s="74"/>
      <c r="AK61" s="75"/>
      <c r="AL61" s="72"/>
      <c r="AM61" s="68"/>
      <c r="AN61" s="73"/>
      <c r="AO61" s="68"/>
      <c r="AP61" s="74"/>
      <c r="AQ61" s="74"/>
      <c r="AR61" s="75"/>
      <c r="AS61" s="73"/>
      <c r="AT61" s="73"/>
      <c r="AU61" s="73"/>
      <c r="AV61" s="73"/>
      <c r="AW61" s="182"/>
      <c r="AX61" s="178"/>
      <c r="AY61" s="183"/>
      <c r="AZ61" s="178"/>
      <c r="BA61" s="184"/>
      <c r="BB61" s="184"/>
      <c r="BC61" s="185"/>
      <c r="BD61" s="72">
        <v>5486.3520699999999</v>
      </c>
      <c r="BE61" s="68" t="s">
        <v>50</v>
      </c>
      <c r="BF61" s="73">
        <v>1226.336878702652</v>
      </c>
      <c r="BG61" s="68" t="s">
        <v>50</v>
      </c>
      <c r="BH61" s="74">
        <v>42</v>
      </c>
      <c r="BI61" s="74">
        <v>12.7</v>
      </c>
      <c r="BJ61" s="75">
        <v>433</v>
      </c>
      <c r="BK61" s="72">
        <v>7495.6997819981552</v>
      </c>
      <c r="BL61" s="68" t="s">
        <v>50</v>
      </c>
      <c r="BM61" s="73">
        <v>1268.6428136481286</v>
      </c>
      <c r="BN61" s="68" t="s">
        <v>50</v>
      </c>
      <c r="BO61" s="74">
        <f t="shared" si="49"/>
        <v>42</v>
      </c>
      <c r="BP61" s="74">
        <f t="shared" si="49"/>
        <v>12.7</v>
      </c>
      <c r="BQ61" s="75">
        <f t="shared" si="49"/>
        <v>433</v>
      </c>
      <c r="BR61" s="73"/>
      <c r="BS61" s="72"/>
      <c r="BT61" s="68"/>
      <c r="BU61" s="73"/>
      <c r="BV61" s="68"/>
      <c r="BW61" s="74"/>
      <c r="BX61" s="74"/>
      <c r="BY61" s="75"/>
      <c r="BZ61" s="72"/>
      <c r="CA61" s="68"/>
      <c r="CB61" s="73"/>
      <c r="CC61" s="68"/>
      <c r="CD61" s="74"/>
      <c r="CE61" s="74"/>
      <c r="CF61" s="75"/>
      <c r="CW61" s="49">
        <f t="shared" si="45"/>
        <v>1</v>
      </c>
      <c r="CX61" s="49">
        <f t="shared" si="17"/>
        <v>1268.6428136481286</v>
      </c>
      <c r="CY61" s="263">
        <f t="shared" si="18"/>
        <v>0</v>
      </c>
      <c r="CZ61" s="49">
        <f t="shared" si="19"/>
        <v>1</v>
      </c>
    </row>
    <row r="62" spans="2:104" ht="15" x14ac:dyDescent="0.25">
      <c r="B62" s="33">
        <v>0.8</v>
      </c>
      <c r="C62" s="3">
        <v>8</v>
      </c>
      <c r="D62" s="27">
        <f>(X62*($T$11^$Q62))*Watts*CF_Altit</f>
        <v>9675.9147429115619</v>
      </c>
      <c r="E62" s="3">
        <f>ROUND(((D62/Watts)/(($S$9-$S$10)*1.163))*$E$14,IF($X$4=1,0,IF($X$4=2,2)))</f>
        <v>832</v>
      </c>
      <c r="F62" s="30">
        <f>($Y$66*(E62/$E$14)^$Y$68)*$F$14</f>
        <v>19.543066305604253</v>
      </c>
      <c r="G62" s="4">
        <f>(Z62*($W$11^R62))*Watts*CF_Altit</f>
        <v>1630.2153539098049</v>
      </c>
      <c r="H62" s="4">
        <f>((G62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62+0.001448)*(Tl_cool-Tavg_cold)+(0.016908*$C62-0.033574))*1.039&gt;1,1,1/(1+((2258*((0.622/(($Z$11/(1*611*EXP(17.27*(Tavg_cold/(Tavg_cold+237.3))))))-1)*1000-(0.622/(($Z$11/(RH*611*EXP(17.27*(Tl_cool/(Tl_cool+237.3))))))-1)*1000))/(1005*(Tavg_cold-Tl_cool))))*1.039+((-0.000729*$C62+0.001448)*(Tl_cool-Tavg_cold)+(0.016908*$C62-0.033574))*1.039))))*Watts</f>
        <v>1630.2153539098049</v>
      </c>
      <c r="I62" s="3">
        <f>ROUND(((H62/Watts)/((Tr_cool-Tv_cool)*1.163))*$I$14,IF($X$4=1,0,IF($X$4=2,2)))</f>
        <v>701</v>
      </c>
      <c r="J62" s="5">
        <f>($AA$60*(I62/$I$14)^$AA$62)*$J$14</f>
        <v>13.882723091543138</v>
      </c>
      <c r="K62" s="59">
        <f>L62-8</f>
        <v>41</v>
      </c>
      <c r="L62" s="53">
        <f t="shared" si="48"/>
        <v>49</v>
      </c>
      <c r="M62" s="46">
        <f t="shared" si="48"/>
        <v>22.2</v>
      </c>
      <c r="N62" s="64">
        <f>AD62*Cubics</f>
        <v>587</v>
      </c>
      <c r="O62" s="253">
        <f>((($D62/Watts)/(((p_atm*0.028964)/(8.31447*(20+273.15)))*(($N62/3600)/Cubics)*(1005+1870*((0.622)/(((p_atm)/($E$12*Pvs_Heat_in))-1)))))+Tl_heat)*Celc1+Celc2</f>
        <v>68.3848857523475</v>
      </c>
      <c r="P62" s="254">
        <f>(Tl_cool-(($G62/Watts)/(1006*$N62*kgss)))*Celc1+Celc2</f>
        <v>18.745611394378429</v>
      </c>
      <c r="Q62" s="220">
        <v>1</v>
      </c>
      <c r="R62" s="113">
        <f t="shared" si="4"/>
        <v>0.85389999999999999</v>
      </c>
      <c r="S62" s="194">
        <v>0</v>
      </c>
      <c r="T62" s="194">
        <v>0</v>
      </c>
      <c r="U62" s="113">
        <v>0.85389999999999999</v>
      </c>
      <c r="V62" s="194">
        <v>0</v>
      </c>
      <c r="W62" s="171">
        <f>(H62-G62)/H62</f>
        <v>0</v>
      </c>
      <c r="X62" s="123">
        <f t="shared" si="5"/>
        <v>9675.9147429115619</v>
      </c>
      <c r="Y62" s="124">
        <f t="shared" si="6"/>
        <v>1.8118808069056789</v>
      </c>
      <c r="Z62" s="124">
        <f t="shared" si="7"/>
        <v>1630.2153539098049</v>
      </c>
      <c r="AA62" s="124">
        <f t="shared" si="8"/>
        <v>1.8118808069056789</v>
      </c>
      <c r="AB62" s="125">
        <f t="shared" si="9"/>
        <v>49</v>
      </c>
      <c r="AC62" s="125">
        <f t="shared" si="10"/>
        <v>22.2</v>
      </c>
      <c r="AD62" s="126">
        <f t="shared" si="11"/>
        <v>587</v>
      </c>
      <c r="AE62" s="72"/>
      <c r="AF62" s="73"/>
      <c r="AG62" s="73"/>
      <c r="AH62" s="73"/>
      <c r="AI62" s="74"/>
      <c r="AJ62" s="74"/>
      <c r="AK62" s="75"/>
      <c r="AL62" s="72"/>
      <c r="AM62" s="73"/>
      <c r="AN62" s="73"/>
      <c r="AO62" s="73"/>
      <c r="AP62" s="74"/>
      <c r="AQ62" s="74"/>
      <c r="AR62" s="75"/>
      <c r="AS62" s="73"/>
      <c r="AT62" s="73"/>
      <c r="AU62" s="73"/>
      <c r="AV62" s="73"/>
      <c r="AW62" s="182"/>
      <c r="AX62" s="183"/>
      <c r="AY62" s="183"/>
      <c r="AZ62" s="183"/>
      <c r="BA62" s="184"/>
      <c r="BB62" s="184"/>
      <c r="BC62" s="185"/>
      <c r="BD62" s="72">
        <v>6740.2699299999986</v>
      </c>
      <c r="BE62" s="73">
        <v>1.82623</v>
      </c>
      <c r="BF62" s="73">
        <v>1589.6200401411263</v>
      </c>
      <c r="BG62" s="73">
        <v>1.9055926159320533</v>
      </c>
      <c r="BH62" s="74">
        <v>49</v>
      </c>
      <c r="BI62" s="74">
        <v>22.2</v>
      </c>
      <c r="BJ62" s="75">
        <v>587</v>
      </c>
      <c r="BK62" s="72">
        <v>9675.9147429115619</v>
      </c>
      <c r="BL62" s="73">
        <v>1.8118808069056789</v>
      </c>
      <c r="BM62" s="73">
        <v>1630.2153539098049</v>
      </c>
      <c r="BN62" s="73">
        <f>BL62</f>
        <v>1.8118808069056789</v>
      </c>
      <c r="BO62" s="74">
        <f t="shared" si="49"/>
        <v>49</v>
      </c>
      <c r="BP62" s="74">
        <f t="shared" si="49"/>
        <v>22.2</v>
      </c>
      <c r="BQ62" s="75">
        <f t="shared" si="49"/>
        <v>587</v>
      </c>
      <c r="BR62" s="73"/>
      <c r="BS62" s="72"/>
      <c r="BT62" s="73"/>
      <c r="BU62" s="73"/>
      <c r="BV62" s="73"/>
      <c r="BW62" s="74"/>
      <c r="BX62" s="74"/>
      <c r="BY62" s="75"/>
      <c r="BZ62" s="72"/>
      <c r="CA62" s="73"/>
      <c r="CB62" s="73"/>
      <c r="CC62" s="73"/>
      <c r="CD62" s="74"/>
      <c r="CE62" s="74"/>
      <c r="CF62" s="75"/>
      <c r="CW62" s="49">
        <f t="shared" si="45"/>
        <v>1</v>
      </c>
      <c r="CX62" s="49">
        <f t="shared" si="17"/>
        <v>1630.2153539098049</v>
      </c>
      <c r="CY62" s="263">
        <f t="shared" si="18"/>
        <v>0</v>
      </c>
      <c r="CZ62" s="49">
        <f t="shared" si="19"/>
        <v>1</v>
      </c>
    </row>
    <row r="63" spans="2:104" ht="15" x14ac:dyDescent="0.25">
      <c r="B63" s="33">
        <v>1</v>
      </c>
      <c r="C63" s="3">
        <v>10</v>
      </c>
      <c r="D63" s="27">
        <f>(X63*($T$11^$Q63))*Watts*CF_Altit</f>
        <v>11568.871993029803</v>
      </c>
      <c r="E63" s="3">
        <f>ROUND(((D63/Watts)/(($S$9-$S$10)*1.163))*$E$14,IF($X$4=1,0,IF($X$4=2,2)))</f>
        <v>995</v>
      </c>
      <c r="F63" s="30">
        <f>($Y$66*(E63/$E$14)^$Y$68)*$F$14</f>
        <v>27.018299401107992</v>
      </c>
      <c r="G63" s="4">
        <f>(Z63*($W$11^R63))*Watts*CF_Altit</f>
        <v>1973.0309538948848</v>
      </c>
      <c r="H63" s="4">
        <f>((G63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63+0.001448)*(Tl_cool-Tavg_cold)+(0.016908*$C63-0.033574))*1.039&gt;1,1,1/(1+((2258*((0.622/(($Z$11/(1*611*EXP(17.27*(Tavg_cold/(Tavg_cold+237.3))))))-1)*1000-(0.622/(($Z$11/(RH*611*EXP(17.27*(Tl_cool/(Tl_cool+237.3))))))-1)*1000))/(1005*(Tavg_cold-Tl_cool))))*1.039+((-0.000729*$C63+0.001448)*(Tl_cool-Tavg_cold)+(0.016908*$C63-0.033574))*1.039))))*Watts</f>
        <v>1973.0309538948848</v>
      </c>
      <c r="I63" s="3">
        <f>ROUND(((H63/Watts)/((Tr_cool-Tv_cool)*1.163))*$I$14,IF($X$4=1,0,IF($X$4=2,2)))</f>
        <v>848</v>
      </c>
      <c r="J63" s="5">
        <f>($AA$60*(I63/$I$14)^$AA$62)*$J$14</f>
        <v>19.600946455549366</v>
      </c>
      <c r="K63" s="59">
        <f>L63-8</f>
        <v>44</v>
      </c>
      <c r="L63" s="53">
        <f t="shared" si="48"/>
        <v>52</v>
      </c>
      <c r="M63" s="46">
        <f t="shared" si="48"/>
        <v>32.5</v>
      </c>
      <c r="N63" s="64">
        <f>AD63*Cubics</f>
        <v>683</v>
      </c>
      <c r="O63" s="253">
        <f>((($D63/Watts)/(((p_atm*0.028964)/(8.31447*(20+273.15)))*(($N63/3600)/Cubics)*(1005+1870*((0.622)/(((p_atm)/($E$12*Pvs_Heat_in))-1)))))+Tl_heat)*Celc1+Celc2</f>
        <v>69.719425316665024</v>
      </c>
      <c r="P63" s="254">
        <f>(Tl_cool-(($G63/Watts)/(1006*$N63*kgss)))*Celc1+Celc2</f>
        <v>18.41399319842753</v>
      </c>
      <c r="Q63" s="220">
        <v>1</v>
      </c>
      <c r="R63" s="113">
        <f t="shared" si="4"/>
        <v>0.77110000000000001</v>
      </c>
      <c r="S63" s="194">
        <v>0</v>
      </c>
      <c r="T63" s="194">
        <v>0</v>
      </c>
      <c r="U63" s="113">
        <v>0.77110000000000001</v>
      </c>
      <c r="V63" s="194">
        <v>0</v>
      </c>
      <c r="W63" s="171">
        <f>(H63-G63)/H63</f>
        <v>0</v>
      </c>
      <c r="X63" s="127">
        <f t="shared" si="5"/>
        <v>11568.871993029803</v>
      </c>
      <c r="Y63" s="128">
        <f t="shared" si="6"/>
        <v>0</v>
      </c>
      <c r="Z63" s="129">
        <f t="shared" si="7"/>
        <v>1973.0309538948848</v>
      </c>
      <c r="AA63" s="128">
        <f t="shared" si="8"/>
        <v>0</v>
      </c>
      <c r="AB63" s="130">
        <f t="shared" si="9"/>
        <v>52</v>
      </c>
      <c r="AC63" s="130">
        <f t="shared" si="10"/>
        <v>32.5</v>
      </c>
      <c r="AD63" s="131">
        <f t="shared" si="11"/>
        <v>683</v>
      </c>
      <c r="AE63" s="76"/>
      <c r="AF63" s="77"/>
      <c r="AG63" s="78"/>
      <c r="AH63" s="77"/>
      <c r="AI63" s="79"/>
      <c r="AJ63" s="79"/>
      <c r="AK63" s="80"/>
      <c r="AL63" s="76"/>
      <c r="AM63" s="77"/>
      <c r="AN63" s="78"/>
      <c r="AO63" s="77"/>
      <c r="AP63" s="79"/>
      <c r="AQ63" s="79"/>
      <c r="AR63" s="80"/>
      <c r="AS63" s="73"/>
      <c r="AT63" s="73"/>
      <c r="AU63" s="73"/>
      <c r="AV63" s="73"/>
      <c r="AW63" s="186"/>
      <c r="AX63" s="187"/>
      <c r="AY63" s="188"/>
      <c r="AZ63" s="187"/>
      <c r="BA63" s="189"/>
      <c r="BB63" s="189"/>
      <c r="BC63" s="190"/>
      <c r="BD63" s="76">
        <v>7651.4761499999977</v>
      </c>
      <c r="BE63" s="77"/>
      <c r="BF63" s="78">
        <v>1942.8883809438034</v>
      </c>
      <c r="BG63" s="77"/>
      <c r="BH63" s="79">
        <v>52</v>
      </c>
      <c r="BI63" s="79">
        <v>32.5</v>
      </c>
      <c r="BJ63" s="80">
        <v>683</v>
      </c>
      <c r="BK63" s="76">
        <v>11568.871993029803</v>
      </c>
      <c r="BL63" s="77"/>
      <c r="BM63" s="78">
        <v>1973.0309538948848</v>
      </c>
      <c r="BN63" s="77"/>
      <c r="BO63" s="79">
        <f t="shared" si="49"/>
        <v>52</v>
      </c>
      <c r="BP63" s="79">
        <f t="shared" si="49"/>
        <v>32.5</v>
      </c>
      <c r="BQ63" s="80">
        <f t="shared" si="49"/>
        <v>683</v>
      </c>
      <c r="BR63" s="73"/>
      <c r="BS63" s="76"/>
      <c r="BT63" s="77"/>
      <c r="BU63" s="78"/>
      <c r="BV63" s="77"/>
      <c r="BW63" s="79"/>
      <c r="BX63" s="79"/>
      <c r="BY63" s="80"/>
      <c r="BZ63" s="76"/>
      <c r="CA63" s="77"/>
      <c r="CB63" s="78"/>
      <c r="CC63" s="77"/>
      <c r="CD63" s="79"/>
      <c r="CE63" s="79"/>
      <c r="CF63" s="80"/>
      <c r="CW63" s="49">
        <f t="shared" si="45"/>
        <v>1</v>
      </c>
      <c r="CX63" s="49">
        <f t="shared" si="17"/>
        <v>1973.0309538948848</v>
      </c>
      <c r="CY63" s="263">
        <f t="shared" si="18"/>
        <v>0</v>
      </c>
      <c r="CZ63" s="49">
        <f t="shared" si="19"/>
        <v>1</v>
      </c>
    </row>
    <row r="64" spans="2:104" ht="16.899999999999999" customHeight="1" x14ac:dyDescent="0.25">
      <c r="B64" s="326" t="str">
        <f>IF($S$7=1,NL!A63,IF(cal!$S$7=2,EN!A63,IF(cal!$S$7=3,DE!A63,IF(cal!$S$7=4,FR!A63,IF(cal!$S$7=5,NR!A63,IF(cal!$S$7=6,SP!A63,IF(cal!$S$7=7,SW!A63,IF(cal!$S$7=8,TS!A63,IF(cal!$S$7=9,ExtraTaal1!A63,IF(cal!$S$7=10,ExtraTaal2!A63,IF(cal!$S$7=11,ExtraTaal3!A63,)))))))))))</f>
        <v>Clima Canal height 13 cm width 32 cm length 300 cm (Type 9)</v>
      </c>
      <c r="C64" s="327">
        <f>IF($S$7=1,NL!B63,IF(cal!$S$7=2,EN!B63,IF(cal!$S$7=3,DE!B63,IF(cal!$S$7=4,FR!B63,IF(cal!$S$7=5,NR!B63,IF(cal!$S$7=6,SP!B63,IF(cal!$S$7=7,SW!B63,IF(cal!$S$7=8,TS!B63,IF(cal!$S$7=9,ExtraTaal1!B63,IF(cal!$S$7=10,ExtraTaal2!B63,IF(cal!$S$7=11,ExtraTaal3!B63,)))))))))))</f>
        <v>0</v>
      </c>
      <c r="D64" s="327">
        <f>IF($S$7=1,NL!C63,IF(cal!$S$7=2,EN!C63,IF(cal!$S$7=3,DE!C63,IF(cal!$S$7=4,FR!C63,IF(cal!$S$7=5,NR!C63,IF(cal!$S$7=6,SP!C63,IF(cal!$S$7=7,SW!C63,IF(cal!$S$7=8,TS!C63,IF(cal!$S$7=9,ExtraTaal1!C63,IF(cal!$S$7=10,ExtraTaal2!C63,IF(cal!$S$7=11,ExtraTaal3!C63,)))))))))))</f>
        <v>0</v>
      </c>
      <c r="E64" s="327">
        <f>IF($S$7=1,NL!D63,IF(cal!$S$7=2,EN!D63,IF(cal!$S$7=3,DE!D63,IF(cal!$S$7=4,FR!D63,IF(cal!$S$7=5,NR!D63,IF(cal!$S$7=6,SP!D63,IF(cal!$S$7=7,SW!D63,IF(cal!$S$7=8,TS!D63,IF(cal!$S$7=9,ExtraTaal1!D63,IF(cal!$S$7=10,ExtraTaal2!D63,IF(cal!$S$7=11,ExtraTaal3!D63,)))))))))))</f>
        <v>0</v>
      </c>
      <c r="F64" s="327">
        <f>IF($S$7=1,NL!E63,IF(cal!$S$7=2,EN!E63,IF(cal!$S$7=3,DE!E63,IF(cal!$S$7=4,FR!E63,IF(cal!$S$7=5,NR!E63,IF(cal!$S$7=6,SP!E63,IF(cal!$S$7=7,SW!E63,IF(cal!$S$7=8,TS!E63,IF(cal!$S$7=9,ExtraTaal1!E63,IF(cal!$S$7=10,ExtraTaal2!E63,IF(cal!$S$7=11,ExtraTaal3!E63,)))))))))))</f>
        <v>0</v>
      </c>
      <c r="G64" s="327">
        <f>IF($S$7=1,NL!F63,IF(cal!$S$7=2,EN!F63,IF(cal!$S$7=3,DE!F63,IF(cal!$S$7=4,FR!F63,IF(cal!$S$7=5,NR!F63,IF(cal!$S$7=6,SP!F63,IF(cal!$S$7=7,SW!F63,IF(cal!$S$7=8,TS!F63,IF(cal!$S$7=9,ExtraTaal1!F63,IF(cal!$S$7=10,ExtraTaal2!F63,IF(cal!$S$7=11,ExtraTaal3!F63,)))))))))))</f>
        <v>0</v>
      </c>
      <c r="H64" s="327">
        <f>IF($S$7=1,NL!G63,IF(cal!$S$7=2,EN!G63,IF(cal!$S$7=3,DE!G63,IF(cal!$S$7=4,FR!G63,IF(cal!$S$7=5,NR!G63,IF(cal!$S$7=6,SP!G63,IF(cal!$S$7=7,SW!G63,IF(cal!$S$7=8,TS!G63,IF(cal!$S$7=9,ExtraTaal1!G63,IF(cal!$S$7=10,ExtraTaal2!G63,IF(cal!$S$7=11,ExtraTaal3!G63,)))))))))))</f>
        <v>0</v>
      </c>
      <c r="I64" s="327">
        <f>IF($S$7=1,NL!H63,IF(cal!$S$7=2,EN!H63,IF(cal!$S$7=3,DE!H63,IF(cal!$S$7=4,FR!H63,IF(cal!$S$7=5,NR!H63,IF(cal!$S$7=6,SP!H63,IF(cal!$S$7=7,SW!H63,IF(cal!$S$7=8,TS!H63,IF(cal!$S$7=9,ExtraTaal1!H63,IF(cal!$S$7=10,ExtraTaal2!H63,IF(cal!$S$7=11,ExtraTaal3!H63,)))))))))))</f>
        <v>0</v>
      </c>
      <c r="J64" s="327">
        <f>IF($S$7=1,NL!I63,IF(cal!$S$7=2,EN!I63,IF(cal!$S$7=3,DE!I63,IF(cal!$S$7=4,FR!I63,IF(cal!$S$7=5,NR!I63,IF(cal!$S$7=6,SP!I63,IF(cal!$S$7=7,SW!I63,IF(cal!$S$7=8,TS!I63,IF(cal!$S$7=9,ExtraTaal1!I63,IF(cal!$S$7=10,ExtraTaal2!I63,IF(cal!$S$7=11,ExtraTaal3!I63,)))))))))))</f>
        <v>0</v>
      </c>
      <c r="K64" s="327">
        <f>IF($S$7=1,NL!J63,IF(cal!$S$7=2,EN!J63,IF(cal!$S$7=3,DE!J63,IF(cal!$S$7=4,FR!J63,IF(cal!$S$7=5,NR!J63,IF(cal!$S$7=6,SP!J63,IF(cal!$S$7=7,SW!J63,IF(cal!$S$7=8,TS!J63,IF(cal!$S$7=9,ExtraTaal1!J63,IF(cal!$S$7=10,ExtraTaal2!J63,IF(cal!$S$7=11,ExtraTaal3!J63,)))))))))))</f>
        <v>0</v>
      </c>
      <c r="L64" s="327">
        <f>IF($S$7=1,NL!K63,IF(cal!$S$7=2,EN!K63,IF(cal!$S$7=3,DE!K63,IF(cal!$S$7=4,FR!K63,IF(cal!$S$7=5,NR!K63,IF(cal!$S$7=6,SP!K63,IF(cal!$S$7=7,SW!K63,IF(cal!$S$7=8,TS!K63,IF(cal!$S$7=9,ExtraTaal1!K63,IF(cal!$S$7=10,ExtraTaal2!K63,IF(cal!$S$7=11,ExtraTaal3!K63,)))))))))))</f>
        <v>0</v>
      </c>
      <c r="M64" s="327">
        <f>IF($S$7=1,NL!L63,IF(cal!$S$7=2,EN!L63,IF(cal!$S$7=3,DE!L63,IF(cal!$S$7=4,FR!L63,IF(cal!$S$7=5,NR!L63,IF(cal!$S$7=6,SP!L63,IF(cal!$S$7=7,SW!L63,IF(cal!$S$7=8,TS!L63,IF(cal!$S$7=9,ExtraTaal1!L63,IF(cal!$S$7=10,ExtraTaal2!L63,IF(cal!$S$7=11,ExtraTaal3!L63,)))))))))))</f>
        <v>0</v>
      </c>
      <c r="N64" s="327">
        <f>IF($S$7=1,NL!M63,IF(cal!$S$7=2,EN!M63,IF(cal!$S$7=3,DE!M63,IF(cal!$S$7=4,FR!M63,IF(cal!$S$7=5,NR!M63,IF(cal!$S$7=6,SP!M63,IF(cal!$S$7=7,SW!M63,IF(cal!$S$7=8,TS!M63,IF(cal!$S$7=9,ExtraTaal1!M63,IF(cal!$S$7=10,ExtraTaal2!M63,IF(cal!$S$7=11,ExtraTaal3!M63,)))))))))))</f>
        <v>0</v>
      </c>
      <c r="O64" s="327">
        <f>IF($S$7=1,NL!N63,IF(cal!$S$7=2,EN!N63,IF(cal!$S$7=3,DE!N63,IF(cal!$S$7=4,FR!N63,IF(cal!$S$7=5,NR!N63,IF(cal!$S$7=6,SP!N63,IF(cal!$S$7=7,SW!N63,IF(cal!$S$7=8,TS!N63,IF(cal!$S$7=9,ExtraTaal1!N63,IF(cal!$S$7=10,ExtraTaal2!N63,IF(cal!$S$7=11,ExtraTaal3!N63,)))))))))))</f>
        <v>0</v>
      </c>
      <c r="P64" s="328">
        <f>IF($S$7=1,NL!O63,IF(cal!$S$7=2,EN!O63,IF(cal!$S$7=3,DE!O63,IF(cal!$S$7=4,FR!O63,IF(cal!$S$7=5,NR!O63,IF(cal!$S$7=6,SP!O63,IF(cal!$S$7=7,SW!O63,IF(cal!$S$7=8,TS!O63,IF(cal!$S$7=9,ExtraTaal1!O63,IF(cal!$S$7=10,ExtraTaal2!O63,IF(cal!$S$7=11,ExtraTaal3!O63,)))))))))))</f>
        <v>0</v>
      </c>
      <c r="Q64" s="209" t="s">
        <v>11</v>
      </c>
      <c r="R64" s="113" t="str">
        <f t="shared" si="4"/>
        <v>n-value</v>
      </c>
      <c r="S64" s="197" t="s">
        <v>11</v>
      </c>
      <c r="T64" s="197" t="s">
        <v>11</v>
      </c>
      <c r="U64" s="198" t="s">
        <v>11</v>
      </c>
      <c r="V64" s="197" t="s">
        <v>11</v>
      </c>
      <c r="W64" s="171"/>
      <c r="X64" s="132" t="str">
        <f t="shared" si="5"/>
        <v>H</v>
      </c>
      <c r="Y64" s="138">
        <f t="shared" si="6"/>
        <v>13</v>
      </c>
      <c r="Z64" s="132" t="str">
        <f t="shared" si="7"/>
        <v>B</v>
      </c>
      <c r="AA64" s="138">
        <f t="shared" si="8"/>
        <v>32</v>
      </c>
      <c r="AB64" s="132" t="str">
        <f t="shared" si="9"/>
        <v>L</v>
      </c>
      <c r="AC64" s="137">
        <f t="shared" si="10"/>
        <v>280</v>
      </c>
      <c r="AD64" s="139">
        <f t="shared" si="11"/>
        <v>0</v>
      </c>
      <c r="AE64" s="83"/>
      <c r="AF64" s="84"/>
      <c r="AG64" s="83"/>
      <c r="AH64" s="84"/>
      <c r="AI64" s="83"/>
      <c r="AJ64" s="84"/>
      <c r="AK64" s="82"/>
      <c r="AL64" s="83"/>
      <c r="AM64" s="84"/>
      <c r="AN64" s="83"/>
      <c r="AO64" s="84"/>
      <c r="AP64" s="83"/>
      <c r="AQ64" s="84"/>
      <c r="AR64" s="87"/>
      <c r="AS64" s="86"/>
      <c r="AT64" s="86"/>
      <c r="AU64" s="86"/>
      <c r="AV64" s="86"/>
      <c r="AW64" s="191"/>
      <c r="AX64" s="192"/>
      <c r="AY64" s="191"/>
      <c r="AZ64" s="192"/>
      <c r="BA64" s="191"/>
      <c r="BB64" s="192"/>
      <c r="BC64" s="193"/>
      <c r="BD64" s="83" t="s">
        <v>61</v>
      </c>
      <c r="BE64" s="84">
        <f>BE22</f>
        <v>13</v>
      </c>
      <c r="BF64" s="83" t="s">
        <v>62</v>
      </c>
      <c r="BG64" s="84">
        <f>BG22</f>
        <v>32</v>
      </c>
      <c r="BH64" s="83" t="s">
        <v>63</v>
      </c>
      <c r="BI64" s="84">
        <f>IF($X$4=1,280,280/2.54)</f>
        <v>280</v>
      </c>
      <c r="BJ64" s="82"/>
      <c r="BK64" s="83" t="s">
        <v>61</v>
      </c>
      <c r="BL64" s="84">
        <f>BL22</f>
        <v>13</v>
      </c>
      <c r="BM64" s="83" t="s">
        <v>62</v>
      </c>
      <c r="BN64" s="84">
        <f>BN22</f>
        <v>32</v>
      </c>
      <c r="BO64" s="83" t="s">
        <v>63</v>
      </c>
      <c r="BP64" s="84">
        <f>IF($X$4=1,280,280/2.54)</f>
        <v>280</v>
      </c>
      <c r="BQ64" s="87"/>
      <c r="BR64" s="86"/>
      <c r="BS64" s="83"/>
      <c r="BT64" s="84"/>
      <c r="BU64" s="83"/>
      <c r="BV64" s="84"/>
      <c r="BW64" s="83"/>
      <c r="BX64" s="84"/>
      <c r="BY64" s="82"/>
      <c r="BZ64" s="83"/>
      <c r="CA64" s="84"/>
      <c r="CB64" s="83"/>
      <c r="CC64" s="84"/>
      <c r="CD64" s="83"/>
      <c r="CE64" s="84"/>
      <c r="CF64" s="87"/>
      <c r="CW64" s="49">
        <f t="shared" si="45"/>
        <v>1</v>
      </c>
      <c r="CX64" s="49">
        <f t="shared" si="17"/>
        <v>0</v>
      </c>
      <c r="CY64" s="263">
        <f t="shared" si="18"/>
        <v>0</v>
      </c>
      <c r="CZ64" s="49">
        <f t="shared" si="19"/>
        <v>1</v>
      </c>
    </row>
    <row r="65" spans="2:104" ht="15" x14ac:dyDescent="0.25">
      <c r="B65" s="33">
        <v>0.2</v>
      </c>
      <c r="C65" s="3">
        <v>2</v>
      </c>
      <c r="D65" s="27">
        <f>(X65*($T$11^$Q65))*Watts*CF_Altit</f>
        <v>2460.2200000000003</v>
      </c>
      <c r="E65" s="3">
        <f>ROUND(((D65/Watts)/(($S$9-$S$10)*1.163))*$E$14,IF($X$4=1,0,IF($X$4=2,2)))</f>
        <v>212</v>
      </c>
      <c r="F65" s="30">
        <f>($Y$66*(E65/$E$14)^$Y$68)*$F$14</f>
        <v>1.6444387112676684</v>
      </c>
      <c r="G65" s="4">
        <f>(Z65*($W$11^R65))*Watts*CF_Altit</f>
        <v>529.39599999999996</v>
      </c>
      <c r="H65" s="4">
        <f>((G65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65+0.001448)*(Tl_cool-Tavg_cold)+(0.016908*$C65-0.033574))*1.039&gt;1,1,1/(1+((2258*((0.622/(($Z$11/(1*611*EXP(17.27*(Tavg_cold/(Tavg_cold+237.3))))))-1)*1000-(0.622/(($Z$11/(RH*611*EXP(17.27*(Tl_cool/(Tl_cool+237.3))))))-1)*1000))/(1005*(Tavg_cold-Tl_cool))))*1.039+((-0.000729*$C65+0.001448)*(Tl_cool-Tavg_cold)+(0.016908*$C65-0.033574))*1.039))))*Watts</f>
        <v>529.39599999999996</v>
      </c>
      <c r="I65" s="3">
        <f>ROUND(((H65/Watts)/((Tr_cool-Tv_cool)*1.163))*$I$14,IF($X$4=1,0,IF($X$4=2,2)))</f>
        <v>228</v>
      </c>
      <c r="J65" s="5">
        <f>($AA$66*(I65/$I$14)^$AA$68)*$J$14</f>
        <v>1.87595988904386</v>
      </c>
      <c r="K65" s="59">
        <f>L65-8</f>
        <v>25</v>
      </c>
      <c r="L65" s="53">
        <f t="shared" ref="L65:M69" si="50">AB65</f>
        <v>33</v>
      </c>
      <c r="M65" s="46">
        <f t="shared" si="50"/>
        <v>4.4000000000000004</v>
      </c>
      <c r="N65" s="64">
        <f>AD65*Cubics</f>
        <v>142</v>
      </c>
      <c r="O65" s="251">
        <f>((($D65/Watts)/(((p_atm*0.028964)/(8.31447*(20+273.15)))*(($N65/3600)/Cubics)*(1005+1870*((0.622)/(((p_atm)/($E$12*Pvs_Heat_in))-1)))))+Tl_heat)*Celc1+Celc2</f>
        <v>70.855905154906424</v>
      </c>
      <c r="P65" s="252">
        <f>(Tl_cool-(($G65/Watts)/(1006*$N65*kgss)))*Celc1+Celc2</f>
        <v>15.919219696560221</v>
      </c>
      <c r="Q65" s="220">
        <v>1</v>
      </c>
      <c r="R65" s="113">
        <f t="shared" si="4"/>
        <v>0.78069999999999995</v>
      </c>
      <c r="S65" s="194">
        <v>0</v>
      </c>
      <c r="T65" s="194">
        <v>0</v>
      </c>
      <c r="U65" s="113">
        <v>0.78069999999999995</v>
      </c>
      <c r="V65" s="194">
        <v>0</v>
      </c>
      <c r="W65" s="171">
        <f>(H65-G65)/H65</f>
        <v>0</v>
      </c>
      <c r="X65" s="118">
        <f t="shared" si="5"/>
        <v>2460.2200000000003</v>
      </c>
      <c r="Y65" s="119" t="str">
        <f t="shared" si="6"/>
        <v>a</v>
      </c>
      <c r="Z65" s="120">
        <f t="shared" si="7"/>
        <v>529.39599999999996</v>
      </c>
      <c r="AA65" s="119" t="str">
        <f t="shared" si="8"/>
        <v>a</v>
      </c>
      <c r="AB65" s="121">
        <f t="shared" si="9"/>
        <v>33</v>
      </c>
      <c r="AC65" s="121">
        <f t="shared" si="10"/>
        <v>4.4000000000000004</v>
      </c>
      <c r="AD65" s="120">
        <f t="shared" si="11"/>
        <v>142</v>
      </c>
      <c r="AE65" s="67"/>
      <c r="AF65" s="68"/>
      <c r="AG65" s="69"/>
      <c r="AH65" s="68"/>
      <c r="AI65" s="70"/>
      <c r="AJ65" s="70"/>
      <c r="AK65" s="71"/>
      <c r="AL65" s="67"/>
      <c r="AM65" s="68"/>
      <c r="AN65" s="69"/>
      <c r="AO65" s="68"/>
      <c r="AP65" s="70"/>
      <c r="AQ65" s="70"/>
      <c r="AR65" s="71"/>
      <c r="AS65" s="73"/>
      <c r="AT65" s="73"/>
      <c r="AU65" s="73"/>
      <c r="AV65" s="73"/>
      <c r="AW65" s="177"/>
      <c r="AX65" s="178"/>
      <c r="AY65" s="179"/>
      <c r="AZ65" s="178"/>
      <c r="BA65" s="180"/>
      <c r="BB65" s="180"/>
      <c r="BC65" s="181"/>
      <c r="BD65" s="67">
        <v>2110.58</v>
      </c>
      <c r="BE65" s="68" t="s">
        <v>49</v>
      </c>
      <c r="BF65" s="69">
        <v>508.31900000000002</v>
      </c>
      <c r="BG65" s="68" t="s">
        <v>49</v>
      </c>
      <c r="BH65" s="70">
        <v>33</v>
      </c>
      <c r="BI65" s="70">
        <v>4.4000000000000004</v>
      </c>
      <c r="BJ65" s="71">
        <v>142</v>
      </c>
      <c r="BK65" s="67">
        <v>2460.2200000000003</v>
      </c>
      <c r="BL65" s="68" t="s">
        <v>49</v>
      </c>
      <c r="BM65" s="69">
        <v>529.39599999999996</v>
      </c>
      <c r="BN65" s="68" t="s">
        <v>49</v>
      </c>
      <c r="BO65" s="70">
        <f t="shared" ref="BO65:BQ69" si="51">BH65</f>
        <v>33</v>
      </c>
      <c r="BP65" s="70">
        <f t="shared" si="51"/>
        <v>4.4000000000000004</v>
      </c>
      <c r="BQ65" s="71">
        <f t="shared" si="51"/>
        <v>142</v>
      </c>
      <c r="BR65" s="73"/>
      <c r="BS65" s="67"/>
      <c r="BT65" s="68"/>
      <c r="BU65" s="69"/>
      <c r="BV65" s="68"/>
      <c r="BW65" s="70"/>
      <c r="BX65" s="70"/>
      <c r="BY65" s="71"/>
      <c r="BZ65" s="67"/>
      <c r="CA65" s="68"/>
      <c r="CB65" s="69"/>
      <c r="CC65" s="68"/>
      <c r="CD65" s="70"/>
      <c r="CE65" s="70"/>
      <c r="CF65" s="71"/>
      <c r="CW65" s="49">
        <f t="shared" si="45"/>
        <v>1</v>
      </c>
      <c r="CX65" s="49">
        <f t="shared" si="17"/>
        <v>529.39599999999996</v>
      </c>
      <c r="CY65" s="263">
        <f t="shared" si="18"/>
        <v>0</v>
      </c>
      <c r="CZ65" s="49">
        <f t="shared" si="19"/>
        <v>1</v>
      </c>
    </row>
    <row r="66" spans="2:104" ht="15" x14ac:dyDescent="0.25">
      <c r="B66" s="33">
        <v>0.4</v>
      </c>
      <c r="C66" s="3">
        <v>4</v>
      </c>
      <c r="D66" s="27">
        <f>(X66*($T$11^$Q66))*Watts*CF_Altit</f>
        <v>5441.28</v>
      </c>
      <c r="E66" s="3">
        <f>ROUND(((D66/Watts)/(($S$9-$S$10)*1.163))*$E$14,IF($X$4=1,0,IF($X$4=2,2)))</f>
        <v>468</v>
      </c>
      <c r="F66" s="30">
        <f>($Y$66*(E66/$E$14)^$Y$68)*$F$14</f>
        <v>6.8963933485591324</v>
      </c>
      <c r="G66" s="4">
        <f>(Z66*($W$11^R66))*Watts*CF_Altit</f>
        <v>961.2700000000001</v>
      </c>
      <c r="H66" s="4">
        <f>((G66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66+0.001448)*(Tl_cool-Tavg_cold)+(0.016908*$C66-0.033574))*1.039&gt;1,1,1/(1+((2258*((0.622/(($Z$11/(1*611*EXP(17.27*(Tavg_cold/(Tavg_cold+237.3))))))-1)*1000-(0.622/(($Z$11/(RH*611*EXP(17.27*(Tl_cool/(Tl_cool+237.3))))))-1)*1000))/(1005*(Tavg_cold-Tl_cool))))*1.039+((-0.000729*$C66+0.001448)*(Tl_cool-Tavg_cold)+(0.016908*$C66-0.033574))*1.039))))*Watts</f>
        <v>961.2700000000001</v>
      </c>
      <c r="I66" s="3">
        <f>ROUND(((H66/Watts)/((Tr_cool-Tv_cool)*1.163))*$I$14,IF($X$4=1,0,IF($X$4=2,2)))</f>
        <v>413</v>
      </c>
      <c r="J66" s="5">
        <f>($AA$66*(I66/$I$14)^$AA$68)*$J$14</f>
        <v>5.499542141797976</v>
      </c>
      <c r="K66" s="59">
        <f>L66-8</f>
        <v>31</v>
      </c>
      <c r="L66" s="53">
        <f t="shared" si="50"/>
        <v>39</v>
      </c>
      <c r="M66" s="46">
        <f t="shared" si="50"/>
        <v>7.5</v>
      </c>
      <c r="N66" s="64">
        <f>AD66*Cubics</f>
        <v>313</v>
      </c>
      <c r="O66" s="253">
        <f>((($D66/Watts)/(((p_atm*0.028964)/(8.31447*(20+273.15)))*(($N66/3600)/Cubics)*(1005+1870*((0.622)/(((p_atm)/($E$12*Pvs_Heat_in))-1)))))+Tl_heat)*Celc1+Celc2</f>
        <v>71.028467444758064</v>
      </c>
      <c r="P66" s="254">
        <f>(Tl_cool-(($G66/Watts)/(1006*$N66*kgss)))*Celc1+Celc2</f>
        <v>17.871927426239992</v>
      </c>
      <c r="Q66" s="220">
        <v>1</v>
      </c>
      <c r="R66" s="113">
        <f t="shared" si="4"/>
        <v>0.85870000000000002</v>
      </c>
      <c r="S66" s="194">
        <v>0</v>
      </c>
      <c r="T66" s="194">
        <v>0</v>
      </c>
      <c r="U66" s="113">
        <v>0.85870000000000002</v>
      </c>
      <c r="V66" s="194">
        <v>0</v>
      </c>
      <c r="W66" s="171">
        <f>(H66-G66)/H66</f>
        <v>0</v>
      </c>
      <c r="X66" s="123">
        <f t="shared" si="5"/>
        <v>5441.28</v>
      </c>
      <c r="Y66" s="124">
        <f t="shared" si="6"/>
        <v>1.0103900000000001E-4</v>
      </c>
      <c r="Z66" s="124">
        <f t="shared" si="7"/>
        <v>961.2700000000001</v>
      </c>
      <c r="AA66" s="124">
        <f t="shared" si="8"/>
        <v>1.0103900000000001E-4</v>
      </c>
      <c r="AB66" s="125">
        <f t="shared" si="9"/>
        <v>39</v>
      </c>
      <c r="AC66" s="125">
        <f t="shared" si="10"/>
        <v>7.5</v>
      </c>
      <c r="AD66" s="124">
        <f t="shared" si="11"/>
        <v>313</v>
      </c>
      <c r="AE66" s="72"/>
      <c r="AF66" s="73"/>
      <c r="AG66" s="73"/>
      <c r="AH66" s="73"/>
      <c r="AI66" s="74"/>
      <c r="AJ66" s="74"/>
      <c r="AK66" s="75"/>
      <c r="AL66" s="72"/>
      <c r="AM66" s="73"/>
      <c r="AN66" s="73"/>
      <c r="AO66" s="73"/>
      <c r="AP66" s="74"/>
      <c r="AQ66" s="74"/>
      <c r="AR66" s="75"/>
      <c r="AS66" s="73"/>
      <c r="AT66" s="73"/>
      <c r="AU66" s="73"/>
      <c r="AV66" s="73"/>
      <c r="AW66" s="182"/>
      <c r="AX66" s="183"/>
      <c r="AY66" s="183"/>
      <c r="AZ66" s="183"/>
      <c r="BA66" s="184"/>
      <c r="BB66" s="184"/>
      <c r="BC66" s="185"/>
      <c r="BD66" s="72">
        <v>4209.1399999999994</v>
      </c>
      <c r="BE66" s="73">
        <v>1.2333900000000001E-4</v>
      </c>
      <c r="BF66" s="73">
        <v>923.09</v>
      </c>
      <c r="BG66" s="73">
        <v>2.4628161336117001E-5</v>
      </c>
      <c r="BH66" s="74">
        <v>39</v>
      </c>
      <c r="BI66" s="74">
        <v>7.5</v>
      </c>
      <c r="BJ66" s="75">
        <v>313</v>
      </c>
      <c r="BK66" s="72">
        <v>5441.28</v>
      </c>
      <c r="BL66" s="73">
        <v>1.0103900000000001E-4</v>
      </c>
      <c r="BM66" s="73">
        <v>961.2700000000001</v>
      </c>
      <c r="BN66" s="73">
        <f>BL66</f>
        <v>1.0103900000000001E-4</v>
      </c>
      <c r="BO66" s="74">
        <f t="shared" si="51"/>
        <v>39</v>
      </c>
      <c r="BP66" s="74">
        <f t="shared" si="51"/>
        <v>7.5</v>
      </c>
      <c r="BQ66" s="75">
        <f t="shared" si="51"/>
        <v>313</v>
      </c>
      <c r="BR66" s="73"/>
      <c r="BS66" s="72"/>
      <c r="BT66" s="73"/>
      <c r="BU66" s="73"/>
      <c r="BV66" s="73"/>
      <c r="BW66" s="74"/>
      <c r="BX66" s="74"/>
      <c r="BY66" s="75"/>
      <c r="BZ66" s="72"/>
      <c r="CA66" s="73"/>
      <c r="CB66" s="73"/>
      <c r="CC66" s="73"/>
      <c r="CD66" s="74"/>
      <c r="CE66" s="74"/>
      <c r="CF66" s="75"/>
      <c r="CW66" s="49">
        <f t="shared" si="45"/>
        <v>1</v>
      </c>
      <c r="CX66" s="49">
        <f t="shared" si="17"/>
        <v>961.2700000000001</v>
      </c>
      <c r="CY66" s="263">
        <f t="shared" si="18"/>
        <v>0</v>
      </c>
      <c r="CZ66" s="49">
        <f t="shared" si="19"/>
        <v>1</v>
      </c>
    </row>
    <row r="67" spans="2:104" ht="15" x14ac:dyDescent="0.25">
      <c r="B67" s="33">
        <v>0.6</v>
      </c>
      <c r="C67" s="3">
        <v>6</v>
      </c>
      <c r="D67" s="27">
        <f>(X67*($T$11^$Q67))*Watts*CF_Altit</f>
        <v>8111.2999999999993</v>
      </c>
      <c r="E67" s="3">
        <f>ROUND(((D67/Watts)/(($S$9-$S$10)*1.163))*$E$14,IF($X$4=1,0,IF($X$4=2,2)))</f>
        <v>697</v>
      </c>
      <c r="F67" s="30">
        <f>($Y$66*(E67/$E$14)^$Y$68)*$F$14</f>
        <v>14.183792323153156</v>
      </c>
      <c r="G67" s="4">
        <f>(Z67*($W$11^R67))*Watts*CF_Altit</f>
        <v>1372.83</v>
      </c>
      <c r="H67" s="4">
        <f>((G67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67+0.001448)*(Tl_cool-Tavg_cold)+(0.016908*$C67-0.033574))*1.039&gt;1,1,1/(1+((2258*((0.622/(($Z$11/(1*611*EXP(17.27*(Tavg_cold/(Tavg_cold+237.3))))))-1)*1000-(0.622/(($Z$11/(RH*611*EXP(17.27*(Tl_cool/(Tl_cool+237.3))))))-1)*1000))/(1005*(Tavg_cold-Tl_cool))))*1.039+((-0.000729*$C67+0.001448)*(Tl_cool-Tavg_cold)+(0.016908*$C67-0.033574))*1.039))))*Watts</f>
        <v>1372.83</v>
      </c>
      <c r="I67" s="3">
        <f>ROUND(((H67/Watts)/((Tr_cool-Tv_cool)*1.163))*$I$14,IF($X$4=1,0,IF($X$4=2,2)))</f>
        <v>590</v>
      </c>
      <c r="J67" s="5">
        <f>($AA$66*(I67/$I$14)^$AA$68)*$J$14</f>
        <v>10.489538845374183</v>
      </c>
      <c r="K67" s="59">
        <f>L67-8</f>
        <v>35</v>
      </c>
      <c r="L67" s="53">
        <f t="shared" si="50"/>
        <v>43</v>
      </c>
      <c r="M67" s="46">
        <f t="shared" si="50"/>
        <v>13.4</v>
      </c>
      <c r="N67" s="64">
        <f>AD67*Cubics</f>
        <v>481</v>
      </c>
      <c r="O67" s="253">
        <f>((($D67/Watts)/(((p_atm*0.028964)/(8.31447*(20+273.15)))*(($N67/3600)/Cubics)*(1005+1870*((0.622)/(((p_atm)/($E$12*Pvs_Heat_in))-1)))))+Tl_heat)*Celc1+Celc2</f>
        <v>69.499541481251271</v>
      </c>
      <c r="P67" s="254">
        <f>(Tl_cool-(($G67/Watts)/(1006*$N67*kgss)))*Celc1+Celc2</f>
        <v>18.516995100147334</v>
      </c>
      <c r="Q67" s="220">
        <v>1</v>
      </c>
      <c r="R67" s="113">
        <f t="shared" si="4"/>
        <v>0.8831</v>
      </c>
      <c r="S67" s="194">
        <v>0</v>
      </c>
      <c r="T67" s="194">
        <v>0</v>
      </c>
      <c r="U67" s="113">
        <v>0.8831</v>
      </c>
      <c r="V67" s="194">
        <v>0</v>
      </c>
      <c r="W67" s="171">
        <f>(H67-G67)/H67</f>
        <v>0</v>
      </c>
      <c r="X67" s="123">
        <f t="shared" si="5"/>
        <v>8111.2999999999993</v>
      </c>
      <c r="Y67" s="119" t="str">
        <f t="shared" si="6"/>
        <v>b</v>
      </c>
      <c r="Z67" s="124">
        <f t="shared" si="7"/>
        <v>1372.83</v>
      </c>
      <c r="AA67" s="119" t="str">
        <f t="shared" si="8"/>
        <v>b</v>
      </c>
      <c r="AB67" s="125">
        <f t="shared" si="9"/>
        <v>43</v>
      </c>
      <c r="AC67" s="125">
        <f t="shared" si="10"/>
        <v>13.4</v>
      </c>
      <c r="AD67" s="124">
        <f t="shared" si="11"/>
        <v>481</v>
      </c>
      <c r="AE67" s="72"/>
      <c r="AF67" s="68"/>
      <c r="AG67" s="73"/>
      <c r="AH67" s="68"/>
      <c r="AI67" s="74"/>
      <c r="AJ67" s="74"/>
      <c r="AK67" s="75"/>
      <c r="AL67" s="72"/>
      <c r="AM67" s="68"/>
      <c r="AN67" s="73"/>
      <c r="AO67" s="68"/>
      <c r="AP67" s="74"/>
      <c r="AQ67" s="74"/>
      <c r="AR67" s="75"/>
      <c r="AS67" s="73"/>
      <c r="AT67" s="73"/>
      <c r="AU67" s="73"/>
      <c r="AV67" s="73"/>
      <c r="AW67" s="182"/>
      <c r="AX67" s="178"/>
      <c r="AY67" s="183"/>
      <c r="AZ67" s="178"/>
      <c r="BA67" s="184"/>
      <c r="BB67" s="184"/>
      <c r="BC67" s="185"/>
      <c r="BD67" s="72">
        <v>5936.9099999999989</v>
      </c>
      <c r="BE67" s="68" t="s">
        <v>50</v>
      </c>
      <c r="BF67" s="73">
        <v>1327.07</v>
      </c>
      <c r="BG67" s="68" t="s">
        <v>50</v>
      </c>
      <c r="BH67" s="74">
        <v>43</v>
      </c>
      <c r="BI67" s="74">
        <v>13.4</v>
      </c>
      <c r="BJ67" s="75">
        <v>481</v>
      </c>
      <c r="BK67" s="72">
        <v>8111.2999999999993</v>
      </c>
      <c r="BL67" s="68" t="s">
        <v>50</v>
      </c>
      <c r="BM67" s="73">
        <v>1372.83</v>
      </c>
      <c r="BN67" s="68" t="s">
        <v>50</v>
      </c>
      <c r="BO67" s="74">
        <f t="shared" si="51"/>
        <v>43</v>
      </c>
      <c r="BP67" s="74">
        <f t="shared" si="51"/>
        <v>13.4</v>
      </c>
      <c r="BQ67" s="75">
        <f t="shared" si="51"/>
        <v>481</v>
      </c>
      <c r="BR67" s="73"/>
      <c r="BS67" s="72"/>
      <c r="BT67" s="68"/>
      <c r="BU67" s="73"/>
      <c r="BV67" s="68"/>
      <c r="BW67" s="74"/>
      <c r="BX67" s="74"/>
      <c r="BY67" s="75"/>
      <c r="BZ67" s="72"/>
      <c r="CA67" s="68"/>
      <c r="CB67" s="73"/>
      <c r="CC67" s="68"/>
      <c r="CD67" s="74"/>
      <c r="CE67" s="74"/>
      <c r="CF67" s="75"/>
      <c r="CW67" s="49">
        <f t="shared" si="45"/>
        <v>1</v>
      </c>
      <c r="CX67" s="49">
        <f t="shared" si="17"/>
        <v>1372.83</v>
      </c>
      <c r="CY67" s="263">
        <f t="shared" si="18"/>
        <v>0</v>
      </c>
      <c r="CZ67" s="49">
        <f t="shared" si="19"/>
        <v>1</v>
      </c>
    </row>
    <row r="68" spans="2:104" ht="15" x14ac:dyDescent="0.25">
      <c r="B68" s="33">
        <v>0.8</v>
      </c>
      <c r="C68" s="3">
        <v>8</v>
      </c>
      <c r="D68" s="27">
        <f>(X68*($T$11^$Q68))*Watts*CF_Altit</f>
        <v>10470.700000000001</v>
      </c>
      <c r="E68" s="3">
        <f>ROUND(((D68/Watts)/(($S$9-$S$10)*1.163))*$E$14,IF($X$4=1,0,IF($X$4=2,2)))</f>
        <v>900</v>
      </c>
      <c r="F68" s="30">
        <f>($Y$66*(E68/$E$14)^$Y$68)*$F$14</f>
        <v>22.529992704647441</v>
      </c>
      <c r="G68" s="4">
        <f>(Z68*($W$11^R68))*Watts*CF_Altit</f>
        <v>1764.1099999999997</v>
      </c>
      <c r="H68" s="4">
        <f>((G68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68+0.001448)*(Tl_cool-Tavg_cold)+(0.016908*$C68-0.033574))*1.039&gt;1,1,1/(1+((2258*((0.622/(($Z$11/(1*611*EXP(17.27*(Tavg_cold/(Tavg_cold+237.3))))))-1)*1000-(0.622/(($Z$11/(RH*611*EXP(17.27*(Tl_cool/(Tl_cool+237.3))))))-1)*1000))/(1005*(Tavg_cold-Tl_cool))))*1.039+((-0.000729*$C68+0.001448)*(Tl_cool-Tavg_cold)+(0.016908*$C68-0.033574))*1.039))))*Watts</f>
        <v>1764.1099999999997</v>
      </c>
      <c r="I68" s="3">
        <f>ROUND(((H68/Watts)/((Tr_cool-Tv_cool)*1.163))*$I$14,IF($X$4=1,0,IF($X$4=2,2)))</f>
        <v>758</v>
      </c>
      <c r="J68" s="5">
        <f>($AA$66*(I68/$I$14)^$AA$68)*$J$14</f>
        <v>16.510330960991837</v>
      </c>
      <c r="K68" s="59">
        <f>L68-8</f>
        <v>42</v>
      </c>
      <c r="L68" s="53">
        <f t="shared" si="50"/>
        <v>50</v>
      </c>
      <c r="M68" s="46">
        <f t="shared" si="50"/>
        <v>23.9</v>
      </c>
      <c r="N68" s="64">
        <f>AD68*Cubics</f>
        <v>638</v>
      </c>
      <c r="O68" s="253">
        <f>((($D68/Watts)/(((p_atm*0.028964)/(8.31447*(20+273.15)))*(($N68/3600)/Cubics)*(1005+1870*((0.622)/(((p_atm)/($E$12*Pvs_Heat_in))-1)))))+Tl_heat)*Celc1+Celc2</f>
        <v>68.173791213423073</v>
      </c>
      <c r="P68" s="254">
        <f>(Tl_cool-(($G68/Watts)/(1006*$N68*kgss)))*Celc1+Celc2</f>
        <v>18.781680593078434</v>
      </c>
      <c r="Q68" s="220">
        <v>1</v>
      </c>
      <c r="R68" s="113">
        <f t="shared" si="4"/>
        <v>0.85389999999999999</v>
      </c>
      <c r="S68" s="194">
        <v>0</v>
      </c>
      <c r="T68" s="194">
        <v>0</v>
      </c>
      <c r="U68" s="113">
        <v>0.85389999999999999</v>
      </c>
      <c r="V68" s="194">
        <v>0</v>
      </c>
      <c r="W68" s="171">
        <f>(H68-G68)/H68</f>
        <v>0</v>
      </c>
      <c r="X68" s="123">
        <f t="shared" si="5"/>
        <v>10470.700000000001</v>
      </c>
      <c r="Y68" s="124">
        <f t="shared" si="6"/>
        <v>1.81037</v>
      </c>
      <c r="Z68" s="124">
        <f t="shared" si="7"/>
        <v>1764.1099999999997</v>
      </c>
      <c r="AA68" s="124">
        <f t="shared" si="8"/>
        <v>1.81037</v>
      </c>
      <c r="AB68" s="125">
        <f t="shared" si="9"/>
        <v>50</v>
      </c>
      <c r="AC68" s="125">
        <f t="shared" si="10"/>
        <v>23.9</v>
      </c>
      <c r="AD68" s="124">
        <f t="shared" si="11"/>
        <v>638</v>
      </c>
      <c r="AE68" s="72"/>
      <c r="AF68" s="73"/>
      <c r="AG68" s="73"/>
      <c r="AH68" s="73"/>
      <c r="AI68" s="74"/>
      <c r="AJ68" s="74"/>
      <c r="AK68" s="75"/>
      <c r="AL68" s="72"/>
      <c r="AM68" s="73"/>
      <c r="AN68" s="73"/>
      <c r="AO68" s="73"/>
      <c r="AP68" s="74"/>
      <c r="AQ68" s="74"/>
      <c r="AR68" s="75"/>
      <c r="AS68" s="73"/>
      <c r="AT68" s="73"/>
      <c r="AU68" s="73"/>
      <c r="AV68" s="73"/>
      <c r="AW68" s="182"/>
      <c r="AX68" s="183"/>
      <c r="AY68" s="183"/>
      <c r="AZ68" s="183"/>
      <c r="BA68" s="184"/>
      <c r="BB68" s="184"/>
      <c r="BC68" s="185"/>
      <c r="BD68" s="72">
        <v>7294.0000000000009</v>
      </c>
      <c r="BE68" s="73">
        <v>1.8241099999999999</v>
      </c>
      <c r="BF68" s="73">
        <v>1720.18</v>
      </c>
      <c r="BG68" s="73">
        <v>1.8911334099329</v>
      </c>
      <c r="BH68" s="74">
        <v>50</v>
      </c>
      <c r="BI68" s="74">
        <v>23.9</v>
      </c>
      <c r="BJ68" s="75">
        <v>638</v>
      </c>
      <c r="BK68" s="72">
        <v>10470.700000000001</v>
      </c>
      <c r="BL68" s="73">
        <v>1.81037</v>
      </c>
      <c r="BM68" s="73">
        <v>1764.1099999999997</v>
      </c>
      <c r="BN68" s="73">
        <f>BL68</f>
        <v>1.81037</v>
      </c>
      <c r="BO68" s="74">
        <f t="shared" si="51"/>
        <v>50</v>
      </c>
      <c r="BP68" s="74">
        <f t="shared" si="51"/>
        <v>23.9</v>
      </c>
      <c r="BQ68" s="75">
        <f t="shared" si="51"/>
        <v>638</v>
      </c>
      <c r="BR68" s="73"/>
      <c r="BS68" s="72"/>
      <c r="BT68" s="73"/>
      <c r="BU68" s="73"/>
      <c r="BV68" s="73"/>
      <c r="BW68" s="74"/>
      <c r="BX68" s="74"/>
      <c r="BY68" s="75"/>
      <c r="BZ68" s="72"/>
      <c r="CA68" s="73"/>
      <c r="CB68" s="73"/>
      <c r="CC68" s="73"/>
      <c r="CD68" s="74"/>
      <c r="CE68" s="74"/>
      <c r="CF68" s="75"/>
      <c r="CW68" s="49">
        <f t="shared" si="45"/>
        <v>1</v>
      </c>
      <c r="CX68" s="49">
        <f t="shared" si="17"/>
        <v>1764.1099999999997</v>
      </c>
      <c r="CY68" s="263">
        <f t="shared" si="18"/>
        <v>0</v>
      </c>
      <c r="CZ68" s="49">
        <f t="shared" si="19"/>
        <v>1</v>
      </c>
    </row>
    <row r="69" spans="2:104" ht="15" x14ac:dyDescent="0.25">
      <c r="B69" s="35">
        <v>1</v>
      </c>
      <c r="C69" s="36">
        <v>10</v>
      </c>
      <c r="D69" s="37">
        <f>(X69*($T$11^$Q69))*Watts*CF_Altit</f>
        <v>12519.2</v>
      </c>
      <c r="E69" s="36">
        <f>ROUND(((D69/Watts)/(($S$9-$S$10)*1.163))*$E$14,IF($X$4=1,0,IF($X$4=2,2)))</f>
        <v>1076</v>
      </c>
      <c r="F69" s="39">
        <f>($Y$66*(E69/$E$14)^$Y$68)*$F$14</f>
        <v>31.130853015257792</v>
      </c>
      <c r="G69" s="37">
        <f>(Z69*($W$11^R69))*Watts*CF_Altit</f>
        <v>2135.09</v>
      </c>
      <c r="H69" s="38">
        <f>((G69/Watts)/(IF((237.3*LN((RH*EXP(17.27*(Tl_cool/(Tl_cool+237.3))))))/(17.27-LN((RH*EXP(17.27*(Tl_cool/(Tl_cool+237.3))))))&lt;Tavg_cold,1,IF(1/(1+((2258*((0.622/(($Z$11/(1*611*EXP(17.27*(Tavg_cold/(Tavg_cold+237.3))))))-1)*1000-(0.622/(($Z$11/(RH*611*EXP(17.27*(Tl_cool/(Tl_cool+237.3))))))-1)*1000))/(1005*(Tavg_cold-Tl_cool))))*1.039+((-0.000729*$C69+0.001448)*(Tl_cool-Tavg_cold)+(0.016908*$C69-0.033574))*1.039&gt;1,1,1/(1+((2258*((0.622/(($Z$11/(1*611*EXP(17.27*(Tavg_cold/(Tavg_cold+237.3))))))-1)*1000-(0.622/(($Z$11/(RH*611*EXP(17.27*(Tl_cool/(Tl_cool+237.3))))))-1)*1000))/(1005*(Tavg_cold-Tl_cool))))*1.039+((-0.000729*$C69+0.001448)*(Tl_cool-Tavg_cold)+(0.016908*$C69-0.033574))*1.039))))*Watts</f>
        <v>2135.09</v>
      </c>
      <c r="I69" s="36">
        <f>ROUND(((H69/Watts)/((Tr_cool-Tv_cool)*1.163))*$I$14,IF($X$4=1,0,IF($X$4=2,2)))</f>
        <v>918</v>
      </c>
      <c r="J69" s="40">
        <f>($AA$66*(I69/$I$14)^$AA$68)*$J$14</f>
        <v>23.35234746783593</v>
      </c>
      <c r="K69" s="60">
        <f>L69-8</f>
        <v>45</v>
      </c>
      <c r="L69" s="54">
        <f t="shared" si="50"/>
        <v>53</v>
      </c>
      <c r="M69" s="46">
        <f t="shared" si="50"/>
        <v>35.6</v>
      </c>
      <c r="N69" s="65">
        <f>AD69*Cubics</f>
        <v>748</v>
      </c>
      <c r="O69" s="253">
        <f>((($D69/Watts)/(((p_atm*0.028964)/(8.31447*(20+273.15)))*(($N69/3600)/Cubics)*(1005+1870*((0.622)/(((p_atm)/($E$12*Pvs_Heat_in))-1)))))+Tl_heat)*Celc1+Celc2</f>
        <v>69.128190434522054</v>
      </c>
      <c r="P69" s="254">
        <f>(Tl_cool-(($G69/Watts)/(1006*$N69*kgss)))*Celc1+Celc2</f>
        <v>18.516157024135133</v>
      </c>
      <c r="Q69" s="220">
        <v>1</v>
      </c>
      <c r="R69" s="113">
        <f t="shared" si="4"/>
        <v>0.77110000000000001</v>
      </c>
      <c r="S69" s="194">
        <v>0</v>
      </c>
      <c r="T69" s="194">
        <v>0</v>
      </c>
      <c r="U69" s="113">
        <v>0.77110000000000001</v>
      </c>
      <c r="V69" s="194">
        <v>0</v>
      </c>
      <c r="W69" s="171">
        <f>(H69-G69)/H69</f>
        <v>0</v>
      </c>
      <c r="X69" s="127">
        <f t="shared" si="5"/>
        <v>12519.2</v>
      </c>
      <c r="Y69" s="128">
        <f t="shared" si="6"/>
        <v>0</v>
      </c>
      <c r="Z69" s="129">
        <f t="shared" si="7"/>
        <v>2135.09</v>
      </c>
      <c r="AA69" s="128">
        <f t="shared" si="8"/>
        <v>0</v>
      </c>
      <c r="AB69" s="130">
        <f t="shared" si="9"/>
        <v>53</v>
      </c>
      <c r="AC69" s="130">
        <f t="shared" si="10"/>
        <v>35.6</v>
      </c>
      <c r="AD69" s="129">
        <f t="shared" si="11"/>
        <v>748</v>
      </c>
      <c r="AE69" s="76"/>
      <c r="AF69" s="77"/>
      <c r="AG69" s="78"/>
      <c r="AH69" s="77"/>
      <c r="AI69" s="79"/>
      <c r="AJ69" s="79"/>
      <c r="AK69" s="80"/>
      <c r="AL69" s="76"/>
      <c r="AM69" s="77"/>
      <c r="AN69" s="78"/>
      <c r="AO69" s="77"/>
      <c r="AP69" s="79"/>
      <c r="AQ69" s="79"/>
      <c r="AR69" s="80"/>
      <c r="AS69" s="73"/>
      <c r="AT69" s="73"/>
      <c r="AU69" s="73"/>
      <c r="AV69" s="73"/>
      <c r="AW69" s="186"/>
      <c r="AX69" s="187"/>
      <c r="AY69" s="188"/>
      <c r="AZ69" s="187"/>
      <c r="BA69" s="189"/>
      <c r="BB69" s="189"/>
      <c r="BC69" s="190"/>
      <c r="BD69" s="76">
        <v>8280</v>
      </c>
      <c r="BE69" s="77"/>
      <c r="BF69" s="78">
        <v>2102.4699999999998</v>
      </c>
      <c r="BG69" s="77"/>
      <c r="BH69" s="79">
        <v>53</v>
      </c>
      <c r="BI69" s="79">
        <v>35.6</v>
      </c>
      <c r="BJ69" s="80">
        <v>748</v>
      </c>
      <c r="BK69" s="76">
        <v>12519.2</v>
      </c>
      <c r="BL69" s="77"/>
      <c r="BM69" s="78">
        <v>2135.09</v>
      </c>
      <c r="BN69" s="77"/>
      <c r="BO69" s="79">
        <f t="shared" si="51"/>
        <v>53</v>
      </c>
      <c r="BP69" s="79">
        <f t="shared" si="51"/>
        <v>35.6</v>
      </c>
      <c r="BQ69" s="80">
        <f t="shared" si="51"/>
        <v>748</v>
      </c>
      <c r="BR69" s="73"/>
      <c r="BS69" s="76"/>
      <c r="BT69" s="77"/>
      <c r="BU69" s="78"/>
      <c r="BV69" s="77"/>
      <c r="BW69" s="79"/>
      <c r="BX69" s="79"/>
      <c r="BY69" s="80"/>
      <c r="BZ69" s="76"/>
      <c r="CA69" s="77"/>
      <c r="CB69" s="78"/>
      <c r="CC69" s="77"/>
      <c r="CD69" s="79"/>
      <c r="CE69" s="79"/>
      <c r="CF69" s="80"/>
      <c r="CW69" s="49">
        <f t="shared" si="45"/>
        <v>1</v>
      </c>
      <c r="CX69" s="49">
        <f t="shared" si="17"/>
        <v>2135.09</v>
      </c>
      <c r="CY69" s="263">
        <f t="shared" si="18"/>
        <v>0</v>
      </c>
      <c r="CZ69" s="49">
        <f t="shared" si="19"/>
        <v>1</v>
      </c>
    </row>
    <row r="70" spans="2:104" ht="9.4" customHeight="1" x14ac:dyDescent="0.25">
      <c r="B70" s="6" t="str">
        <f>IF($S$7=1,NL!A69,IF(cal!$S$7=2,EN!A69,IF(cal!$S$7=3,DE!A69,IF(cal!$S$7=4,FR!A69,IF(cal!$S$7=5,NR!A69,IF(cal!$S$7=6,SP!A69,IF(cal!$S$7=7,SW!A69,IF(cal!$S$7=8,TS!A69,IF(cal!$S$7=9,ExtraTaal1!A69,IF(cal!$S$7=10,ExtraTaal2!A69,IF(cal!$S$7=11,ExtraTaal3!A69,)))))))))))</f>
        <v>*Values according to EN 16430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47"/>
      <c r="N70" s="45" t="str">
        <f>'Clima Canal'!P71</f>
        <v>v2026-03-23</v>
      </c>
      <c r="O70" s="45"/>
      <c r="P70" s="45"/>
      <c r="Q70" s="1"/>
      <c r="X70" s="132" t="str">
        <f t="shared" si="5"/>
        <v>H</v>
      </c>
      <c r="Y70" s="133">
        <f t="shared" si="6"/>
        <v>13</v>
      </c>
      <c r="Z70" s="132" t="str">
        <f t="shared" si="7"/>
        <v>B</v>
      </c>
      <c r="AA70" s="133">
        <f t="shared" si="8"/>
        <v>32</v>
      </c>
      <c r="AB70" s="132" t="str">
        <f t="shared" si="9"/>
        <v>L</v>
      </c>
      <c r="AC70" s="134">
        <f t="shared" si="10"/>
        <v>300</v>
      </c>
      <c r="AD70" s="135">
        <f t="shared" si="11"/>
        <v>0</v>
      </c>
      <c r="AE70" s="83"/>
      <c r="AF70" s="84"/>
      <c r="AG70" s="83"/>
      <c r="AH70" s="84"/>
      <c r="AI70" s="83"/>
      <c r="AJ70" s="84"/>
      <c r="AK70" s="82"/>
      <c r="AL70" s="83"/>
      <c r="AM70" s="84"/>
      <c r="AN70" s="83"/>
      <c r="AO70" s="84"/>
      <c r="AP70" s="83"/>
      <c r="AQ70" s="84"/>
      <c r="AR70" s="87"/>
      <c r="AS70" s="86"/>
      <c r="AT70" s="86"/>
      <c r="AU70" s="86"/>
      <c r="AV70" s="86"/>
      <c r="AW70" s="191"/>
      <c r="AX70" s="192"/>
      <c r="AY70" s="191"/>
      <c r="AZ70" s="192"/>
      <c r="BA70" s="191"/>
      <c r="BB70" s="192"/>
      <c r="BC70" s="193"/>
      <c r="BD70" s="83" t="s">
        <v>61</v>
      </c>
      <c r="BE70" s="84">
        <f>BE22</f>
        <v>13</v>
      </c>
      <c r="BF70" s="83" t="s">
        <v>62</v>
      </c>
      <c r="BG70" s="84">
        <f>BG22</f>
        <v>32</v>
      </c>
      <c r="BH70" s="83" t="s">
        <v>63</v>
      </c>
      <c r="BI70" s="84">
        <f>IF($X$4=1,300,300/2.54)</f>
        <v>300</v>
      </c>
      <c r="BJ70" s="82"/>
      <c r="BK70" s="83" t="s">
        <v>61</v>
      </c>
      <c r="BL70" s="84">
        <f>BL22</f>
        <v>13</v>
      </c>
      <c r="BM70" s="83" t="s">
        <v>62</v>
      </c>
      <c r="BN70" s="84">
        <f>BN22</f>
        <v>32</v>
      </c>
      <c r="BO70" s="83" t="s">
        <v>63</v>
      </c>
      <c r="BP70" s="84">
        <f>IF($X$4=1,300,300/2.54)</f>
        <v>300</v>
      </c>
      <c r="BQ70" s="87"/>
      <c r="BR70" s="86"/>
      <c r="BS70" s="83"/>
      <c r="BT70" s="84"/>
      <c r="BU70" s="83"/>
      <c r="BV70" s="84"/>
      <c r="BW70" s="83"/>
      <c r="BX70" s="84"/>
      <c r="BY70" s="82"/>
      <c r="BZ70" s="83"/>
      <c r="CA70" s="84"/>
      <c r="CB70" s="83"/>
      <c r="CC70" s="84"/>
      <c r="CD70" s="83"/>
      <c r="CE70" s="84"/>
      <c r="CF70" s="87"/>
      <c r="CW70" s="49">
        <f t="shared" si="45"/>
        <v>1</v>
      </c>
      <c r="CX70" s="49">
        <f t="shared" si="17"/>
        <v>0</v>
      </c>
      <c r="CY70" s="263">
        <f t="shared" si="18"/>
        <v>0</v>
      </c>
      <c r="CZ70" s="49">
        <f t="shared" si="19"/>
        <v>1</v>
      </c>
    </row>
    <row r="71" spans="2:104" ht="9.4" customHeight="1" x14ac:dyDescent="0.25">
      <c r="B71" s="6" t="str">
        <f>IF($S$7=1,NL!A70,IF(cal!$S$7=2,EN!A70,IF(cal!$S$7=3,DE!A70,IF(cal!$S$7=4,FR!A70,IF(cal!$S$7=5,NR!A70,IF(cal!$S$7=6,SP!A70,IF(cal!$S$7=7,SW!A70,IF(cal!$S$7=8,TS!A70,IF(cal!$S$7=9,ExtraTaal1!A70,IF(cal!$S$7=10,ExtraTaal2!A70,IF(cal!$S$7=11,ExtraTaal3!A70,)))))))))))</f>
        <v>**Sound power according to ISO 3741:2010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CW71" s="49">
        <f t="shared" si="45"/>
        <v>1</v>
      </c>
      <c r="CX71" s="49">
        <f t="shared" si="17"/>
        <v>0</v>
      </c>
      <c r="CY71" s="263">
        <f t="shared" si="18"/>
        <v>0</v>
      </c>
      <c r="CZ71" s="49">
        <f t="shared" si="19"/>
        <v>1</v>
      </c>
    </row>
    <row r="72" spans="2:104" ht="9" customHeight="1" x14ac:dyDescent="0.25">
      <c r="B72" s="6" t="str">
        <f>IF($S$7=1,NL!A71,IF(cal!$S$7=2,EN!A71,IF(cal!$S$7=3,DE!A71,IF(cal!$S$7=4,FR!A71,IF(cal!$S$7=5,NR!A71,IF(cal!$S$7=6,SP!A71,IF(cal!$S$7=7,SW!A71,IF(cal!$S$7=8,TS!A71,IF(cal!$S$7=9,ExtraTaal1!A71,IF(cal!$S$7=10,ExtraTaal2!A71,IF(cal!$S$7=11,ExtraTaal3!A71,)))))))))))</f>
        <v>***Sound pressure with an assumed room damping of 8dB(A)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2:104" ht="16.149999999999999" hidden="1" customHeight="1" x14ac:dyDescent="0.25"/>
    <row r="74" spans="2:104" ht="15" hidden="1" customHeight="1" x14ac:dyDescent="0.25"/>
    <row r="75" spans="2:104" ht="15" hidden="1" customHeight="1" x14ac:dyDescent="0.25"/>
    <row r="76" spans="2:104" ht="15" hidden="1" customHeight="1" x14ac:dyDescent="0.25"/>
    <row r="77" spans="2:104" ht="15" hidden="1" customHeight="1" x14ac:dyDescent="0.25"/>
    <row r="78" spans="2:104" ht="15" hidden="1" customHeight="1" x14ac:dyDescent="0.25"/>
    <row r="79" spans="2:104" ht="15" hidden="1" customHeight="1" x14ac:dyDescent="0.25"/>
    <row r="80" spans="2:104" ht="15" hidden="1" customHeight="1" x14ac:dyDescent="0.25"/>
  </sheetData>
  <sheetProtection selectLockedCells="1"/>
  <dataConsolidate/>
  <mergeCells count="30">
    <mergeCell ref="CH16:CN16"/>
    <mergeCell ref="CO16:CU16"/>
    <mergeCell ref="B64:P64"/>
    <mergeCell ref="B58:P58"/>
    <mergeCell ref="B52:P52"/>
    <mergeCell ref="B46:P46"/>
    <mergeCell ref="B40:P40"/>
    <mergeCell ref="B34:P34"/>
    <mergeCell ref="B28:P28"/>
    <mergeCell ref="B22:P22"/>
    <mergeCell ref="BS16:BY16"/>
    <mergeCell ref="BZ16:CF16"/>
    <mergeCell ref="BD16:BJ16"/>
    <mergeCell ref="BK16:BQ16"/>
    <mergeCell ref="AL16:AR16"/>
    <mergeCell ref="AW16:BC16"/>
    <mergeCell ref="O7:P7"/>
    <mergeCell ref="O8:P8"/>
    <mergeCell ref="AE16:AK16"/>
    <mergeCell ref="X16:AD16"/>
    <mergeCell ref="B16:P16"/>
    <mergeCell ref="M9:N9"/>
    <mergeCell ref="B9:D9"/>
    <mergeCell ref="G9:J9"/>
    <mergeCell ref="B10:D10"/>
    <mergeCell ref="G10:J10"/>
    <mergeCell ref="B11:D11"/>
    <mergeCell ref="G11:J11"/>
    <mergeCell ref="M7:N7"/>
    <mergeCell ref="M8:N8"/>
  </mergeCells>
  <dataValidations disablePrompts="1" count="3">
    <dataValidation type="whole" errorStyle="information" allowBlank="1" prompt="Eingabe zwischen 5°C bis 20°C" sqref="K9:K11" xr:uid="{00000000-0002-0000-0100-000000000000}">
      <formula1>5</formula1>
      <formula2>20</formula2>
    </dataValidation>
    <dataValidation type="decimal" errorStyle="information" allowBlank="1" prompt="20°C bis 35°C" sqref="K12 E12" xr:uid="{00000000-0002-0000-0100-000001000000}">
      <formula1>0.3</formula1>
      <formula2>0.8</formula2>
    </dataValidation>
    <dataValidation allowBlank="1" showInputMessage="1" sqref="E9:E11" xr:uid="{00000000-0002-0000-0100-000002000000}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>&amp;L&amp;G&amp;C&amp;16&amp;K00-040CLIMA CANAL  AUSLEGUNG
Heizen &amp;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ignoredErrors>
    <ignoredError sqref="S10:S11 X9:X11 E10:E11 K12" unlockedFormula="1"/>
    <ignoredError sqref="J17:J21 J23:J27 J29:J33 F65:F69 F29 F23:F27 F17:F18 F31:F33 F20:F21" evalError="1"/>
  </ignoredError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R78"/>
  <sheetViews>
    <sheetView topLeftCell="I1" workbookViewId="0">
      <selection activeCell="G6" sqref="G6:J6"/>
    </sheetView>
  </sheetViews>
  <sheetFormatPr defaultColWidth="11.42578125" defaultRowHeight="15" zero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19</v>
      </c>
      <c r="B2" s="22"/>
    </row>
    <row r="3" spans="1:18" x14ac:dyDescent="0.25">
      <c r="A3" s="21"/>
    </row>
    <row r="4" spans="1:18" x14ac:dyDescent="0.25">
      <c r="A4" s="28" t="s">
        <v>18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143</v>
      </c>
      <c r="M6" s="342"/>
    </row>
    <row r="7" spans="1:18" ht="15.75" thickBot="1" x14ac:dyDescent="0.3">
      <c r="A7" s="12" t="s">
        <v>12</v>
      </c>
      <c r="B7" s="7"/>
      <c r="C7" s="7"/>
      <c r="D7" s="7"/>
      <c r="E7" s="7"/>
      <c r="F7" s="8" t="s">
        <v>13</v>
      </c>
      <c r="G7" s="8"/>
      <c r="H7" s="8"/>
      <c r="I7" s="7"/>
      <c r="J7" s="7"/>
      <c r="K7" s="7"/>
      <c r="L7" s="343"/>
      <c r="M7" s="344"/>
      <c r="Q7" s="1" t="s">
        <v>168</v>
      </c>
    </row>
    <row r="8" spans="1:18" ht="15.75" thickBot="1" x14ac:dyDescent="0.3">
      <c r="A8" s="331" t="str">
        <f>"Aanvoertemp."</f>
        <v>Aanvoertemp.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Aanvoertemp.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112</v>
      </c>
      <c r="M8" s="346"/>
      <c r="Q8" s="1" t="s">
        <v>169</v>
      </c>
    </row>
    <row r="9" spans="1:18" ht="15.75" thickTop="1" x14ac:dyDescent="0.25">
      <c r="A9" s="331" t="str">
        <f>"Retourtemp."</f>
        <v>Retourtemp.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Retourtemp.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170</v>
      </c>
    </row>
    <row r="10" spans="1:18" x14ac:dyDescent="0.25">
      <c r="A10" s="331" t="str">
        <f>"Ruimtetemp."</f>
        <v>Ruimtetemp.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Ruimtetemp.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152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17</v>
      </c>
      <c r="B14" s="19" t="s">
        <v>14</v>
      </c>
      <c r="C14" s="26" t="str">
        <f>CONCATENATE("Warmteafgifte * ",ROUND(D8,0),"/",ROUND(D9,0),"/",ROUND(D10,0)," ["&amp;IF(cal!$X$4=1,"W",IF(cal!$X$4=2,"Btu/h"))&amp;"]")</f>
        <v>Warmteafgifte * 75/65/20 [W]</v>
      </c>
      <c r="D14" s="29" t="str">
        <f>"Waterdebiet, verwarming ["&amp;IF(cal!$X$4=1,"l/h",IF(cal!$X$4=2,"GPM"))&amp;"]"</f>
        <v>Waterdebiet, verwarming [l/h]</v>
      </c>
      <c r="E14" s="32" t="str">
        <f>"Waterzijdig drukverlies ["&amp;IF(cal!$X$4=1,"kPa",IF(cal!$X$4=2,"inH2O"))&amp;"]"</f>
        <v>Waterzijdig drukverlies [kPa]</v>
      </c>
      <c r="F14" s="19" t="str">
        <f>CONCATENATE("Voelb. Koelcapaciteit * ",ROUND(J8,0),"/",,ROUND(J9,0),"/",,ROUND(J10,0)," ["&amp;IF(cal!$X$4=1,"W",IF(cal!$X$4=2,"Btu/h"))&amp;"]")</f>
        <v>Voelb. Koelcapaciteit * 16/18/27 [W]</v>
      </c>
      <c r="G14" s="19" t="str">
        <f>CONCATENATE("Tot. koelcapaciteit ",,ROUND(J8,0),"/",,ROUND(J9,0),"/",,ROUND(J10,0)," ["&amp;IF(cal!$X$4=1,"W",IF(cal!$X$4=2,"Btu/h"))&amp;"]")</f>
        <v>Tot. koelcapaciteit 16/18/27 [W]</v>
      </c>
      <c r="H14" s="19" t="str">
        <f>"Waterdebiet, koeling ["&amp;IF(cal!$X$4=1,"l/h",IF(cal!$X$4=2,"GPM"))&amp;"]"</f>
        <v>Waterdebiet, koeling [l/h]</v>
      </c>
      <c r="I14" s="20" t="str">
        <f>"Waterzijdig drukverlies ["&amp;IF(cal!$X$4=1,"kPa",IF(cal!$X$4=2,"inH2O"))&amp;"]"</f>
        <v>Waterzijdig drukverlies [kPa]</v>
      </c>
      <c r="J14" s="26" t="s">
        <v>15</v>
      </c>
      <c r="K14" s="31" t="s">
        <v>42</v>
      </c>
      <c r="L14" s="19" t="s">
        <v>16</v>
      </c>
      <c r="M14" s="25" t="str">
        <f>"Luchtdebiet ["&amp;IF(cal!$X$4=1,"m³/h",IF(cal!$X$4=2,"CFM"))&amp;"]"</f>
        <v>Luchtdebiet [m³/h]</v>
      </c>
      <c r="N14" s="200" t="str">
        <f>"Uitblaastemp. verwarming ["&amp;IF(cal!$X$4=1,"°C",IF(cal!$X$4=2,"°F"))&amp;"]"</f>
        <v>Uitblaastemp. verwarming [°C]</v>
      </c>
      <c r="O14" s="201" t="str">
        <f>"Uitblaastemp. koeling ["&amp;IF(cal!$X$4=1,"°C",IF(cal!$X$4=2,"°F"))&amp;"]"</f>
        <v>Uitblaastemp. koeling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hoogte 13 cm breedte 32 cm lengte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140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99</v>
      </c>
      <c r="R16" s="92" t="s">
        <v>141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100</v>
      </c>
      <c r="R17" s="92" t="s">
        <v>142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hoogte 13 cm breedte 32 cm lengte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hoogte 13 cm breedte 32 cm lengte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hoogte 13 cm breedte 32 cm lengte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8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hoogte 13 cm breedte 32 cm lengte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hoogte 13 cm breedte 32 cm lengte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8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hoogte 13 cm breedte 32 cm lengte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hoogte 13 cm breedte 32 cm lengte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6.899999999999999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hoogte 13 cm breedte 32 cm lengte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4" customHeight="1" x14ac:dyDescent="0.25">
      <c r="A69" s="6" t="s">
        <v>57</v>
      </c>
      <c r="L69" s="47"/>
      <c r="M69" s="45" t="str">
        <f>cal!N70</f>
        <v>v2026-03-23</v>
      </c>
    </row>
    <row r="70" spans="1:13" ht="9.4" customHeight="1" x14ac:dyDescent="0.25">
      <c r="A70" s="6" t="s">
        <v>20</v>
      </c>
    </row>
    <row r="71" spans="1:13" ht="9.4" customHeight="1" x14ac:dyDescent="0.25">
      <c r="A71" s="6" t="s">
        <v>21</v>
      </c>
    </row>
    <row r="72" spans="1:13" ht="16.149999999999999" hidden="1" customHeight="1" x14ac:dyDescent="0.25"/>
    <row r="73" spans="1:13" x14ac:dyDescent="0.25"/>
    <row r="74" spans="1:13" x14ac:dyDescent="0.25"/>
    <row r="75" spans="1:13" x14ac:dyDescent="0.25"/>
    <row r="76" spans="1:13" x14ac:dyDescent="0.25"/>
    <row r="77" spans="1:13" x14ac:dyDescent="0.25"/>
    <row r="78" spans="1:13" x14ac:dyDescent="0.25"/>
  </sheetData>
  <sheetProtection selectLockedCells="1"/>
  <mergeCells count="19">
    <mergeCell ref="A51:M51"/>
    <mergeCell ref="A63:M63"/>
    <mergeCell ref="A8:C8"/>
    <mergeCell ref="F8:I8"/>
    <mergeCell ref="A9:C9"/>
    <mergeCell ref="F9:I9"/>
    <mergeCell ref="A10:C10"/>
    <mergeCell ref="F10:I10"/>
    <mergeCell ref="A27:M27"/>
    <mergeCell ref="A33:M33"/>
    <mergeCell ref="A39:M39"/>
    <mergeCell ref="A45:M45"/>
    <mergeCell ref="A57:M57"/>
    <mergeCell ref="L8:M8"/>
    <mergeCell ref="L6:M6"/>
    <mergeCell ref="L7:M7"/>
    <mergeCell ref="F11:H11"/>
    <mergeCell ref="A15:M15"/>
    <mergeCell ref="A21:M21"/>
  </mergeCells>
  <dataValidations count="7">
    <dataValidation type="decimal" errorStyle="information" allowBlank="1" showErrorMessage="1" error="Eingabe außerhalb des gültigen Bereichs." prompt="20°C bis 35°C" sqref="J11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2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2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144</v>
      </c>
      <c r="M6" s="342"/>
    </row>
    <row r="7" spans="1:18" ht="15.75" thickBot="1" x14ac:dyDescent="0.3">
      <c r="A7" s="12" t="s">
        <v>23</v>
      </c>
      <c r="B7" s="7"/>
      <c r="C7" s="7"/>
      <c r="D7" s="7"/>
      <c r="E7" s="7"/>
      <c r="F7" s="8" t="s">
        <v>24</v>
      </c>
      <c r="G7" s="8"/>
      <c r="H7" s="8"/>
      <c r="I7" s="7"/>
      <c r="J7" s="7"/>
      <c r="K7" s="7"/>
      <c r="L7" s="343"/>
      <c r="M7" s="344"/>
      <c r="Q7" s="1" t="s">
        <v>171</v>
      </c>
    </row>
    <row r="8" spans="1:18" ht="15.75" thickBot="1" x14ac:dyDescent="0.3">
      <c r="A8" s="331" t="str">
        <f>"Inlet temp."</f>
        <v>Inlet 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Inlet 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113</v>
      </c>
      <c r="M8" s="346"/>
      <c r="Q8" s="1" t="s">
        <v>172</v>
      </c>
    </row>
    <row r="9" spans="1:18" ht="15.75" thickTop="1" x14ac:dyDescent="0.25">
      <c r="A9" s="331" t="str">
        <f>"Return temp."</f>
        <v>Return 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Return 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173</v>
      </c>
    </row>
    <row r="10" spans="1:18" x14ac:dyDescent="0.25">
      <c r="A10" s="331" t="str">
        <f>"Room temp."</f>
        <v>Room 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Room 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153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25</v>
      </c>
      <c r="B14" s="19" t="s">
        <v>26</v>
      </c>
      <c r="C14" s="26" t="str">
        <f>CONCATENATE("Heat output * ",ROUND(D8,0),"/",ROUND(D9,0),"/",ROUND(D10,0)," ["&amp;IF(cal!$X$4=1,"W",IF(cal!$X$4=2,"Btu/h"))&amp;"]")</f>
        <v>Heat output * 75/65/20 [W]</v>
      </c>
      <c r="D14" s="29" t="str">
        <f>"Water flowrate, heating ["&amp;IF(cal!$X$4=1,"l/h",IF(cal!$X$4=2,"GPM"))&amp;"]"</f>
        <v>Water flowrate, heating [l/h]</v>
      </c>
      <c r="E14" s="32" t="str">
        <f>"Watersided pressure loss ["&amp;IF(cal!$X$4=1,"kPa",IF(cal!$X$4=2,"inH2O"))&amp;"]"</f>
        <v>Watersided pressure loss [kPa]</v>
      </c>
      <c r="F14" s="19" t="str">
        <f>CONCATENATE("Sens. cooling capacity * ",ROUND(J8,0),"/",ROUND(J9,0),"/",ROUND(J10,0)," ["&amp;IF(cal!$X$4=1,"W",IF(cal!$X$4=2,"Btu/h"))&amp;"]")</f>
        <v>Sens. cooling capacity * 16/18/27 [W]</v>
      </c>
      <c r="G14" s="19" t="str">
        <f>CONCATENATE("Tot. cooling capacity ",ROUND(J8,0),"/",ROUND(J9,0),"/",ROUND(J10,0)," ["&amp;IF(cal!$X$4=1,"W",IF(cal!$X$4=2,"Btu/h"))&amp;"]")</f>
        <v>Tot. cooling capacity 16/18/27 [W]</v>
      </c>
      <c r="H14" s="19" t="str">
        <f>"Water flowrate, cooling ["&amp;IF(cal!$X$4=1,"l/h",IF(cal!$X$4=2,"GPM"))&amp;"]"</f>
        <v>Water flowrate, cooling [l/h]</v>
      </c>
      <c r="I14" s="20" t="str">
        <f>"Watersided pressure loss ["&amp;IF(cal!$X$4=1,"kPa",IF(cal!$X$4=2,"inH2O"))&amp;"]"</f>
        <v>Watersided pressure loss [kPa]</v>
      </c>
      <c r="J14" s="26" t="s">
        <v>27</v>
      </c>
      <c r="K14" s="31" t="s">
        <v>43</v>
      </c>
      <c r="L14" s="19" t="s">
        <v>28</v>
      </c>
      <c r="M14" s="25" t="str">
        <f>"Air flowrate ["&amp;IF(cal!$X$4=1,"m³/h",IF(cal!$X$4=2,"CFM"))&amp;"]"</f>
        <v>Air flowrate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height 13 cm width 32 cm length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137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101</v>
      </c>
      <c r="R16" s="92" t="s">
        <v>138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102</v>
      </c>
      <c r="R17" s="92" t="s">
        <v>139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height 13 cm width 32 cm length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height 13 cm width 32 cm length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height 13 cm width 32 cm length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height 13 cm width 32 cm length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height 13 cm width 32 cm length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height 13 cm width 32 cm length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height 13 cm width 32 cm length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height 13 cm width 32 cm length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58</v>
      </c>
      <c r="L69" s="47"/>
      <c r="M69" s="45" t="str">
        <f>cal!N70</f>
        <v>v2026-03-23</v>
      </c>
    </row>
    <row r="70" spans="1:13" ht="9.6" customHeight="1" x14ac:dyDescent="0.25">
      <c r="A70" s="6" t="s">
        <v>29</v>
      </c>
    </row>
    <row r="71" spans="1:13" ht="9.6" customHeight="1" x14ac:dyDescent="0.25">
      <c r="A71" s="6" t="s">
        <v>30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3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3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R71"/>
  <sheetViews>
    <sheetView topLeftCell="I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</v>
      </c>
      <c r="B2" s="22"/>
    </row>
    <row r="3" spans="1:18" x14ac:dyDescent="0.25">
      <c r="A3" s="21"/>
    </row>
    <row r="4" spans="1:18" x14ac:dyDescent="0.25">
      <c r="A4" s="28" t="s">
        <v>5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145</v>
      </c>
      <c r="M6" s="342"/>
    </row>
    <row r="7" spans="1:18" ht="15.75" thickBot="1" x14ac:dyDescent="0.3">
      <c r="A7" s="12" t="s">
        <v>2</v>
      </c>
      <c r="B7" s="7"/>
      <c r="C7" s="7"/>
      <c r="D7" s="7"/>
      <c r="E7" s="7"/>
      <c r="F7" s="8" t="s">
        <v>10</v>
      </c>
      <c r="G7" s="8"/>
      <c r="H7" s="8"/>
      <c r="I7" s="7"/>
      <c r="J7" s="7"/>
      <c r="K7" s="7"/>
      <c r="L7" s="343"/>
      <c r="M7" s="344"/>
      <c r="Q7" s="1" t="s">
        <v>174</v>
      </c>
    </row>
    <row r="8" spans="1:18" ht="15.75" thickBot="1" x14ac:dyDescent="0.3">
      <c r="A8" s="331" t="str">
        <f>"Vorlauftemp."</f>
        <v>Vorlauftemp.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Vorlauftemp.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114</v>
      </c>
      <c r="M8" s="346"/>
      <c r="Q8" s="1" t="s">
        <v>175</v>
      </c>
    </row>
    <row r="9" spans="1:18" ht="15.75" thickTop="1" x14ac:dyDescent="0.25">
      <c r="A9" s="331" t="str">
        <f>"Rücklauftemp."</f>
        <v>Rücklauftemp.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Rücklauftemp.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176</v>
      </c>
    </row>
    <row r="10" spans="1:18" x14ac:dyDescent="0.25">
      <c r="A10" s="331" t="str">
        <f>"Raumtemp."</f>
        <v>Raumtemp.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Raumtemp.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154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0</v>
      </c>
      <c r="B14" s="19" t="s">
        <v>1</v>
      </c>
      <c r="C14" s="26" t="str">
        <f>CONCATENATE("Wärmeleistung * ",ROUND(D8,0),"/",ROUND(D9,0),"/",ROUND(D10,0)," ["&amp;IF(cal!$X$4=1,"W",IF(cal!$X$4=2,"Btu/h"))&amp;"]")</f>
        <v>Wärmeleistung * 75/65/20 [W]</v>
      </c>
      <c r="D14" s="29" t="str">
        <f>"Heizmittelstrom ["&amp;IF(cal!$X$4=1,"l/h",IF(cal!$X$4=2,"GPM"))&amp;"]"</f>
        <v>Heizmittelstrom [l/h]</v>
      </c>
      <c r="E14" s="32" t="str">
        <f>"zug. wassers. Druckverlust ["&amp;IF(cal!$X$4=1,"kPa",IF(cal!$X$4=2,"inH2O"))&amp;"]"</f>
        <v>zug. wassers. Druckverlust [kPa]</v>
      </c>
      <c r="F14" s="19" t="str">
        <f>CONCATENATE("Sens. Kälteleistung * ",ROUND(J8,0),"/",ROUND(J9,0),"/",ROUND(J10,0)," ["&amp;IF(cal!$X$4=1,"W",IF(cal!$X$4=2,"Btu/h"))&amp;"]")</f>
        <v>Sens. Kälteleistung * 16/18/27 [W]</v>
      </c>
      <c r="G14" s="19" t="str">
        <f>CONCATENATE("Tot. Kälteleistung ",ROUND(J8,0),"/",ROUND(J9,0),"/",ROUND(J10,0)," ["&amp;IF(cal!$X$4=1,"W",IF(cal!$X$4=2,"Btu/h"))&amp;"]")</f>
        <v>Tot. Kälteleistung 16/18/27 [W]</v>
      </c>
      <c r="H14" s="19" t="str">
        <f>"Kühlmittelstrom ["&amp;IF(cal!$X$4=1,"l/h",IF(cal!$X$4=2,"GPM"))&amp;"]"</f>
        <v>Kühlmittelstrom [l/h]</v>
      </c>
      <c r="I14" s="20" t="str">
        <f>"zug. wassers. Druckverlust ["&amp;IF(cal!$X$4=1,"kPa",IF(cal!$X$4=2,"inH2O"))&amp;"]"</f>
        <v>zug. wassers. Druckverlust [kPa]</v>
      </c>
      <c r="J14" s="26" t="s">
        <v>9</v>
      </c>
      <c r="K14" s="31" t="s">
        <v>44</v>
      </c>
      <c r="L14" s="19" t="s">
        <v>6</v>
      </c>
      <c r="M14" s="25" t="str">
        <f>"Luftvolumenstrom ["&amp;IF(cal!$X$4=1,"m³/h",IF(cal!$X$4=2,"CFM"))&amp;"]"</f>
        <v>Luftvolumenstrom [m³/h]</v>
      </c>
      <c r="N14" s="200" t="str">
        <f>"Luftaustrittstemp. Heizung ["&amp;IF(cal!$X$4=1,"°C",IF(cal!$X$4=2,"°F"))&amp;"]"</f>
        <v>Luftaustrittstemp. Heizung [°C]</v>
      </c>
      <c r="O14" s="201" t="str">
        <f>"Luftaustrittstemp. kühlung ["&amp;IF(cal!$X$4=1,"°C",IF(cal!$X$4=2,"°F"))&amp;"]"</f>
        <v>Luftaustrittstemp. kühlung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höhe 13 cm breite 32 cm länge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134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103</v>
      </c>
      <c r="R16" s="92" t="s">
        <v>135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104</v>
      </c>
      <c r="R17" s="92" t="s">
        <v>136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höhe 13 cm breite 32 cm länge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höhe 13 cm breite 32 cm länge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höhe 13 cm breite 32 cm länge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höhe 13 cm breite 32 cm länge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höhe 13 cm breite 32 cm länge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höhe 13 cm breite 32 cm länge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höhe 13 cm breite 32 cm länge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höhe 13 cm breite 32 cm länge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59</v>
      </c>
      <c r="L69" s="47"/>
      <c r="M69" s="45" t="str">
        <f>cal!N70</f>
        <v>v2026-03-23</v>
      </c>
    </row>
    <row r="70" spans="1:13" ht="9.6" customHeight="1" x14ac:dyDescent="0.25">
      <c r="A70" s="6" t="s">
        <v>7</v>
      </c>
    </row>
    <row r="71" spans="1:13" ht="9.6" customHeight="1" x14ac:dyDescent="0.25">
      <c r="A71" s="6" t="s">
        <v>8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4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4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A1:R71"/>
  <sheetViews>
    <sheetView topLeftCell="C1"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34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146</v>
      </c>
      <c r="M6" s="342"/>
    </row>
    <row r="7" spans="1:18" ht="15.75" thickBot="1" x14ac:dyDescent="0.3">
      <c r="A7" s="12" t="s">
        <v>46</v>
      </c>
      <c r="B7" s="7"/>
      <c r="C7" s="7"/>
      <c r="D7" s="7"/>
      <c r="E7" s="7"/>
      <c r="F7" s="8" t="s">
        <v>36</v>
      </c>
      <c r="G7" s="8"/>
      <c r="H7" s="8"/>
      <c r="I7" s="7"/>
      <c r="J7" s="7"/>
      <c r="K7" s="7"/>
      <c r="L7" s="343"/>
      <c r="M7" s="344"/>
      <c r="Q7" s="1" t="s">
        <v>177</v>
      </c>
    </row>
    <row r="8" spans="1:18" ht="15.75" thickBot="1" x14ac:dyDescent="0.3">
      <c r="A8" s="331" t="str">
        <f>"Temp. entrée"</f>
        <v>Temp. entrée</v>
      </c>
      <c r="B8" s="332"/>
      <c r="C8" s="332"/>
      <c r="D8" s="62">
        <f>cal!E9</f>
        <v>75</v>
      </c>
      <c r="E8" s="48" t="str">
        <f>IF(cal!$X$4=1,"°C",IF(cal!$X$4=2,"°F"))</f>
        <v>°C</v>
      </c>
      <c r="F8" s="332" t="str">
        <f>A8</f>
        <v>Temp. entrée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115</v>
      </c>
      <c r="M8" s="346"/>
      <c r="Q8" s="1" t="s">
        <v>178</v>
      </c>
    </row>
    <row r="9" spans="1:18" ht="15.75" thickTop="1" x14ac:dyDescent="0.25">
      <c r="A9" s="331" t="str">
        <f>"Temp. retour"</f>
        <v>Temp. retour</v>
      </c>
      <c r="B9" s="332"/>
      <c r="C9" s="332"/>
      <c r="D9" s="62">
        <f>cal!E10</f>
        <v>65</v>
      </c>
      <c r="E9" s="48" t="str">
        <f>E8</f>
        <v>°C</v>
      </c>
      <c r="F9" s="332" t="str">
        <f>A9</f>
        <v>Temp. retour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179</v>
      </c>
    </row>
    <row r="10" spans="1:18" x14ac:dyDescent="0.25">
      <c r="A10" s="331" t="str">
        <f>"Temp. ambiante"</f>
        <v>Temp. ambiante</v>
      </c>
      <c r="B10" s="332"/>
      <c r="C10" s="332"/>
      <c r="D10" s="62">
        <f>cal!E11</f>
        <v>20</v>
      </c>
      <c r="E10" s="48" t="str">
        <f>E8</f>
        <v>°C</v>
      </c>
      <c r="F10" s="332" t="str">
        <f>A10</f>
        <v>Temp. ambiante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155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32</v>
      </c>
      <c r="B14" s="19" t="s">
        <v>35</v>
      </c>
      <c r="C14" s="26" t="str">
        <f>CONCATENATE("Puissance de cha. * ",ROUND(D8,0),"/",ROUND(D9,0),"/",ROUND(D10,0)," ["&amp;IF(cal!$X$4=1,"W",IF(cal!$X$4=2,"Btu/h"))&amp;"]")</f>
        <v>Puissance de cha. * 75/65/20 [W]</v>
      </c>
      <c r="D14" s="29" t="str">
        <f>"Débit d'eau, chauffer ["&amp;IF(cal!$X$4=1,"l/h",IF(cal!$X$4=2,"GPM"))&amp;"]"</f>
        <v>Débit d'eau, chauffer [l/h]</v>
      </c>
      <c r="E14" s="32" t="str">
        <f>"Perte de charge ["&amp;IF(cal!$X$4=1,"kPa",IF(cal!$X$4=2,"inH2O"))&amp;"]"</f>
        <v>Perte de charge [kPa]</v>
      </c>
      <c r="F14" s="19" t="str">
        <f>CONCATENATE("Puissance sens. de refr. * ",ROUND(J8,0),"/",ROUND(J9,0),"/",ROUND(J10,0)," ["&amp;IF(cal!$X$4=1,"W",IF(cal!$X$4=2,"Btu/h"))&amp;"]")</f>
        <v>Puissance sens. de refr. * 16/18/27 [W]</v>
      </c>
      <c r="G14" s="19" t="str">
        <f>CONCATENATE("Puissance tot. de refr. ",ROUND(J8,0),"/",ROUND(J9,0),"/",ROUND(J10,0)," ["&amp;IF(cal!$X$4=1,"W",IF(cal!$X$4=2,"Btu/h"))&amp;"]")</f>
        <v>Puissance tot. de refr. 16/18/27 [W]</v>
      </c>
      <c r="H14" s="19" t="str">
        <f>"Débit d'eau, refroidir ["&amp;IF(cal!$X$4=1,"l/h",IF(cal!$X$4=2,"GPM"))&amp;"]"</f>
        <v>Débit d'eau, refroidir [l/h]</v>
      </c>
      <c r="I14" s="20" t="str">
        <f>"Perte de charge ["&amp;IF(cal!$X$4=1,"kPa",IF(cal!$X$4=2,"inH2O"))&amp;"]"</f>
        <v>Perte de charge [kPa]</v>
      </c>
      <c r="J14" s="26" t="s">
        <v>37</v>
      </c>
      <c r="K14" s="31" t="s">
        <v>39</v>
      </c>
      <c r="L14" s="19" t="s">
        <v>38</v>
      </c>
      <c r="M14" s="25" t="str">
        <f>"Débit d'air ["&amp;IF(cal!$X$4=1,"m³/h",IF(cal!$X$4=2,"CFM"))&amp;"]"</f>
        <v>Débit d'air [m³/h]</v>
      </c>
      <c r="N14" s="200" t="str">
        <f>"Temp. de la sortie d'air cha. ["&amp;IF(cal!$X$4=1,"°C",IF(cal!$X$4=2,"°F"))&amp;"]"</f>
        <v>Temp. de la sortie d'air cha. [°C]</v>
      </c>
      <c r="O14" s="201" t="str">
        <f>"Temp. de la sortie d'air refr. ["&amp;IF(cal!$X$4=1,"°C",IF(cal!$X$4=2,"°F"))&amp;"]"</f>
        <v>Temp. de la sortie d'air refr.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hauteur 13 cm largeur 32 cm longueur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131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105</v>
      </c>
      <c r="R16" s="92" t="s">
        <v>132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106</v>
      </c>
      <c r="R17" s="92" t="s">
        <v>133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hauteur 13 cm largeur 32 cm longueur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hauteur 13 cm largeur 32 cm longueur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hauteur 13 cm largeur 32 cm longueur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hauteur 13 cm largeur 32 cm longueur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hauteur 13 cm largeur 32 cm longueur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hauteur 13 cm largeur 32 cm longueur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hauteur 13 cm largeur 32 cm longueur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hauteur 13 cm largeur 32 cm longueur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60</v>
      </c>
      <c r="L69" s="47"/>
      <c r="M69" s="45" t="str">
        <f>cal!N70</f>
        <v>v2026-03-23</v>
      </c>
    </row>
    <row r="70" spans="1:13" ht="9.6" customHeight="1" x14ac:dyDescent="0.25">
      <c r="A70" s="6" t="s">
        <v>40</v>
      </c>
    </row>
    <row r="71" spans="1:13" ht="9.6" customHeight="1" x14ac:dyDescent="0.25">
      <c r="A71" s="6" t="s">
        <v>41</v>
      </c>
    </row>
  </sheetData>
  <sheetProtection selectLockedCells="1"/>
  <mergeCells count="19">
    <mergeCell ref="A39:M39"/>
    <mergeCell ref="A45:M45"/>
    <mergeCell ref="A51:M51"/>
    <mergeCell ref="A63:M63"/>
    <mergeCell ref="A15:M15"/>
    <mergeCell ref="A21:M21"/>
    <mergeCell ref="A27:M27"/>
    <mergeCell ref="A33:M33"/>
    <mergeCell ref="A57:M57"/>
    <mergeCell ref="L8:M8"/>
    <mergeCell ref="L6:M6"/>
    <mergeCell ref="L7:M7"/>
    <mergeCell ref="F11:H11"/>
    <mergeCell ref="A8:C8"/>
    <mergeCell ref="F8:I8"/>
    <mergeCell ref="A9:C9"/>
    <mergeCell ref="F9:I9"/>
    <mergeCell ref="A10:C10"/>
    <mergeCell ref="F10:I10"/>
  </mergeCells>
  <dataValidations count="7">
    <dataValidation type="whole" errorStyle="information" allowBlank="1" showErrorMessage="1" error="Eingabe außerhalb des gültigen Bereichs." prompt="20°C bis 35°C" sqref="J10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5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5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1:R71"/>
  <sheetViews>
    <sheetView topLeftCell="C1"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158" t="s">
        <v>97</v>
      </c>
      <c r="B2" s="22"/>
    </row>
    <row r="3" spans="1:18" x14ac:dyDescent="0.25">
      <c r="A3" s="21"/>
      <c r="G3" s="347"/>
      <c r="H3" s="348"/>
      <c r="I3" s="348"/>
      <c r="J3" s="349"/>
    </row>
    <row r="4" spans="1:18" x14ac:dyDescent="0.25">
      <c r="A4" s="28" t="s">
        <v>31</v>
      </c>
      <c r="G4" s="347"/>
      <c r="H4" s="348"/>
      <c r="I4" s="348"/>
      <c r="J4" s="349"/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57" t="s">
        <v>94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147</v>
      </c>
      <c r="M6" s="342"/>
    </row>
    <row r="7" spans="1:18" ht="15.75" thickBot="1" x14ac:dyDescent="0.3">
      <c r="A7" s="157" t="s">
        <v>95</v>
      </c>
      <c r="B7" s="7"/>
      <c r="C7" s="7"/>
      <c r="D7" s="7"/>
      <c r="E7" s="7"/>
      <c r="F7" s="98" t="s">
        <v>96</v>
      </c>
      <c r="G7" s="8"/>
      <c r="H7" s="8"/>
      <c r="I7" s="7"/>
      <c r="J7" s="7"/>
      <c r="K7" s="7"/>
      <c r="L7" s="343"/>
      <c r="M7" s="344"/>
      <c r="Q7" s="1" t="s">
        <v>180</v>
      </c>
    </row>
    <row r="8" spans="1:18" ht="15.75" thickBot="1" x14ac:dyDescent="0.3">
      <c r="A8" s="350" t="s">
        <v>91</v>
      </c>
      <c r="B8" s="351">
        <v>0</v>
      </c>
      <c r="C8" s="351">
        <v>0</v>
      </c>
      <c r="D8" s="62">
        <f>cal!E9</f>
        <v>75</v>
      </c>
      <c r="E8" s="48" t="str">
        <f>IF(cal!$X$4=1,"°C",IF(cal!$X$4=2,"°F"))</f>
        <v>°C</v>
      </c>
      <c r="F8" s="332" t="str">
        <f>A8</f>
        <v>Tur vanntemp.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116</v>
      </c>
      <c r="M8" s="346"/>
      <c r="Q8" s="1" t="s">
        <v>181</v>
      </c>
    </row>
    <row r="9" spans="1:18" ht="15.75" thickTop="1" x14ac:dyDescent="0.25">
      <c r="A9" s="350" t="s">
        <v>92</v>
      </c>
      <c r="B9" s="351">
        <v>0</v>
      </c>
      <c r="C9" s="351">
        <v>0</v>
      </c>
      <c r="D9" s="62">
        <f>cal!E10</f>
        <v>65</v>
      </c>
      <c r="E9" s="48" t="str">
        <f>E8</f>
        <v>°C</v>
      </c>
      <c r="F9" s="332" t="str">
        <f>A9</f>
        <v>Retur vanntemp.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182</v>
      </c>
    </row>
    <row r="10" spans="1:18" x14ac:dyDescent="0.25">
      <c r="A10" s="350" t="s">
        <v>93</v>
      </c>
      <c r="B10" s="351">
        <v>0</v>
      </c>
      <c r="C10" s="351">
        <v>0</v>
      </c>
      <c r="D10" s="62">
        <f>cal!E11</f>
        <v>20</v>
      </c>
      <c r="E10" s="48" t="str">
        <f>E8</f>
        <v>°C</v>
      </c>
      <c r="F10" s="332" t="str">
        <f>A10</f>
        <v>Rom temp.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156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152" t="s">
        <v>86</v>
      </c>
      <c r="B14" s="153" t="s">
        <v>87</v>
      </c>
      <c r="C14" s="152" t="str">
        <f>CONCATENATE("Varme effekt * ",ROUND(D8,0),"/",ROUND(D9,0),"/",ROUND(D10,0)," ["&amp;IF(cal!$X$4=1,"W",IF(cal!$X$4=2,"Btu/h"))&amp;"]")</f>
        <v>Varme effekt * 75/65/20 [W]</v>
      </c>
      <c r="D14" s="154" t="str">
        <f>"Vannmengde, varme ["&amp;IF(cal!$X$4=1,"l/h",IF(cal!$X$4=2,"GPM"))&amp;"]"</f>
        <v>Vannmengde, varme [l/h]</v>
      </c>
      <c r="E14" s="155" t="str">
        <f>"Trykktap ["&amp;IF(cal!$X$4=1,"kPa",IF(cal!$X$4=2,"ftH2O"))&amp;"]"</f>
        <v>Trykktap [kPa]</v>
      </c>
      <c r="F14" s="153" t="str">
        <f>CONCATENATE("Sens. Kjøling effekt * ",ROUND(J8,0),"/",ROUND(J9,0),"/",ROUND(J10,0)," ["&amp;IF(cal!$X$4=1,"W",IF(cal!$X$4=2,"Btu/h"))&amp;"]")</f>
        <v>Sens. Kjøling effekt * 16/18/27 [W]</v>
      </c>
      <c r="G14" s="153" t="str">
        <f>CONCATENATE("Tot. Kjøle effekt * ",ROUND(J8,0),"/",ROUND(J9,0),"/",ROUND(J10,0)," ["&amp;IF(cal!$X$4=1,"W",IF(cal!$X$4=2,"Btu/h"))&amp;"]")</f>
        <v>Tot. Kjøle effekt * 16/18/27 [W]</v>
      </c>
      <c r="H14" s="153" t="str">
        <f>"Vannmengde, kjøling ["&amp;IF(cal!$X$4=1,"l/h",IF(cal!$X$4=2,"GPM"))&amp;"]"</f>
        <v>Vannmengde, kjøling [l/h]</v>
      </c>
      <c r="I14" s="153" t="str">
        <f>E14</f>
        <v>Trykktap [kPa]</v>
      </c>
      <c r="J14" s="152" t="s">
        <v>88</v>
      </c>
      <c r="K14" s="156" t="s">
        <v>89</v>
      </c>
      <c r="L14" s="153" t="s">
        <v>90</v>
      </c>
      <c r="M14" s="155" t="str">
        <f>"Luftmengde ["&amp;IF(cal!$X$4=1,"m³/h",IF(cal!$X$4=2,"CFM"))&amp;"]"</f>
        <v>Luftmengde [m³/h]</v>
      </c>
      <c r="N14" s="200" t="str">
        <f>"Utluft temperatur, Varme ["&amp;IF(cal!$X$4=1,"°C",IF(cal!$X$4=2,"°F"))&amp;"]"</f>
        <v>Utluft temperatur, Varme [°C]</v>
      </c>
      <c r="O14" s="201" t="str">
        <f>"Utluft temperatur, Kjøling ["&amp;IF(cal!$X$4=1,"°C",IF(cal!$X$4=2,"°F"))&amp;"]"</f>
        <v>Utluft temperatur, Kjøling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høyde 13 cm bredde 32 cm lengde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128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107</v>
      </c>
      <c r="R16" s="92" t="s">
        <v>129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108</v>
      </c>
      <c r="R17" s="92" t="s">
        <v>130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høyde 13 cm bredde 32 cm lengde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høyde 13 cm bredde 32 cm lengde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høyde 13 cm bredde 32 cm lengde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høyde 13 cm bredde 32 cm lengde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høyde 13 cm bredde 32 cm lengde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høyde 13 cm bredde 32 cm lengde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høyde 13 cm bredde 32 cm lengde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høyde 13 cm bredde 32 cm lengde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60</v>
      </c>
      <c r="L69" s="47"/>
      <c r="M69" s="45" t="str">
        <f>cal!N70</f>
        <v>v2026-03-23</v>
      </c>
    </row>
    <row r="70" spans="1:13" ht="9.6" customHeight="1" x14ac:dyDescent="0.25">
      <c r="A70" s="6" t="s">
        <v>40</v>
      </c>
    </row>
    <row r="71" spans="1:13" ht="9.6" customHeight="1" x14ac:dyDescent="0.25">
      <c r="A71" s="6" t="s">
        <v>41</v>
      </c>
    </row>
  </sheetData>
  <sheetProtection selectLockedCells="1"/>
  <mergeCells count="21">
    <mergeCell ref="A51:M51"/>
    <mergeCell ref="A57:M57"/>
    <mergeCell ref="A63:M63"/>
    <mergeCell ref="G3:J3"/>
    <mergeCell ref="G4:J4"/>
    <mergeCell ref="A15:M15"/>
    <mergeCell ref="A21:M21"/>
    <mergeCell ref="A27:M27"/>
    <mergeCell ref="A33:M33"/>
    <mergeCell ref="A39:M39"/>
    <mergeCell ref="A45:M45"/>
    <mergeCell ref="A8:C8"/>
    <mergeCell ref="F8:I8"/>
    <mergeCell ref="A9:C9"/>
    <mergeCell ref="F9:I9"/>
    <mergeCell ref="A10:C10"/>
    <mergeCell ref="L8:M8"/>
    <mergeCell ref="L6:M6"/>
    <mergeCell ref="L7:M7"/>
    <mergeCell ref="F11:H11"/>
    <mergeCell ref="F10:I10"/>
  </mergeCells>
  <dataValidations count="7">
    <dataValidation type="decimal" errorStyle="information" allowBlank="1" showErrorMessage="1" error="Eingabe außerhalb des gültigen Bereichs." prompt="20°C bis 35°C" sqref="J11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6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6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A1:R71"/>
  <sheetViews>
    <sheetView zoomScaleNormal="100" workbookViewId="0">
      <selection activeCell="G6" sqref="G6:J6"/>
    </sheetView>
  </sheetViews>
  <sheetFormatPr defaultColWidth="11.42578125" defaultRowHeight="15" customHeight="1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158" t="s">
        <v>149</v>
      </c>
      <c r="B2" s="22"/>
    </row>
    <row r="3" spans="1:18" x14ac:dyDescent="0.25">
      <c r="A3" s="21"/>
      <c r="G3" s="347"/>
      <c r="H3" s="348"/>
      <c r="I3" s="348"/>
      <c r="J3" s="349"/>
    </row>
    <row r="4" spans="1:18" x14ac:dyDescent="0.25">
      <c r="A4" s="28" t="s">
        <v>31</v>
      </c>
      <c r="G4" s="347"/>
      <c r="H4" s="348"/>
      <c r="I4" s="348"/>
      <c r="J4" s="349"/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57" t="s">
        <v>158</v>
      </c>
      <c r="B6" s="97"/>
      <c r="C6" s="97"/>
      <c r="D6" s="7"/>
      <c r="E6" s="7"/>
      <c r="F6" s="7"/>
      <c r="G6" s="7"/>
      <c r="H6" s="7"/>
      <c r="I6" s="7"/>
      <c r="J6" s="7"/>
      <c r="K6" s="7"/>
      <c r="L6" s="341" t="s">
        <v>148</v>
      </c>
      <c r="M6" s="342"/>
    </row>
    <row r="7" spans="1:18" ht="15.75" thickBot="1" x14ac:dyDescent="0.3">
      <c r="A7" s="157" t="s">
        <v>159</v>
      </c>
      <c r="B7" s="97"/>
      <c r="C7" s="97"/>
      <c r="D7" s="7"/>
      <c r="E7" s="7"/>
      <c r="F7" s="98" t="s">
        <v>163</v>
      </c>
      <c r="G7" s="8"/>
      <c r="H7" s="8"/>
      <c r="I7" s="7"/>
      <c r="J7" s="7"/>
      <c r="K7" s="7"/>
      <c r="L7" s="343"/>
      <c r="M7" s="344"/>
      <c r="Q7" s="1" t="s">
        <v>183</v>
      </c>
    </row>
    <row r="8" spans="1:18" ht="15.75" thickBot="1" x14ac:dyDescent="0.3">
      <c r="A8" s="350" t="s">
        <v>160</v>
      </c>
      <c r="B8" s="351">
        <v>0</v>
      </c>
      <c r="C8" s="351">
        <v>0</v>
      </c>
      <c r="D8" s="62">
        <f>cal!E9</f>
        <v>75</v>
      </c>
      <c r="E8" s="48" t="str">
        <f>IF(cal!$X$4=1,"°C",IF(cal!$X$4=2,"°F"))</f>
        <v>°C</v>
      </c>
      <c r="F8" s="332" t="str">
        <f>A8</f>
        <v>Agua impulsión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122</v>
      </c>
      <c r="M8" s="346"/>
      <c r="Q8" s="1" t="s">
        <v>184</v>
      </c>
    </row>
    <row r="9" spans="1:18" ht="15.75" thickTop="1" x14ac:dyDescent="0.25">
      <c r="A9" s="350" t="s">
        <v>161</v>
      </c>
      <c r="B9" s="351">
        <v>0</v>
      </c>
      <c r="C9" s="351">
        <v>0</v>
      </c>
      <c r="D9" s="62">
        <f>cal!E10</f>
        <v>65</v>
      </c>
      <c r="E9" s="48" t="str">
        <f>E8</f>
        <v>°C</v>
      </c>
      <c r="F9" s="332" t="str">
        <f>A9</f>
        <v>Agua retorno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185</v>
      </c>
    </row>
    <row r="10" spans="1:18" x14ac:dyDescent="0.25">
      <c r="A10" s="350" t="s">
        <v>162</v>
      </c>
      <c r="B10" s="351">
        <v>0</v>
      </c>
      <c r="C10" s="351">
        <v>0</v>
      </c>
      <c r="D10" s="62">
        <f>cal!E11</f>
        <v>20</v>
      </c>
      <c r="E10" s="48" t="str">
        <f>E8</f>
        <v>°C</v>
      </c>
      <c r="F10" s="332" t="str">
        <f>A10</f>
        <v>Ambiente (bulbo seco)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32" t="s">
        <v>157</v>
      </c>
      <c r="G11" s="332"/>
      <c r="H11" s="332"/>
      <c r="I11" s="7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152" t="s">
        <v>117</v>
      </c>
      <c r="B14" s="153" t="s">
        <v>118</v>
      </c>
      <c r="C14" s="152" t="str">
        <f>CONCATENATE("Emisión calefacción * ",ROUND(D8,0),"/",ROUND(D9,0),"/",ROUND(D10,0)," ["&amp;IF(cal!$X$4=1,"W",IF(cal!$X$4=2,"Btu/h"))&amp;"]")</f>
        <v>Emisión calefacción * 75/65/20 [W]</v>
      </c>
      <c r="D14" s="154" t="str">
        <f>"Caudal de agua, calefacción ["&amp;IF(cal!$X$4=1,"l/h",IF(cal!$X$4=2,"GPM"))&amp;"]"</f>
        <v>Caudal de agua, calefacción [l/h]</v>
      </c>
      <c r="E14" s="155" t="str">
        <f>"Pérdida de carga del agua ["&amp;IF(cal!$X$4=1,"kPa",IF(cal!$X$4=2,"ftH2O"))&amp;"]"</f>
        <v>Pérdida de carga del agua [kPa]</v>
      </c>
      <c r="F14" s="153" t="str">
        <f>CONCATENATE("Emisión sensible Frío * ",ROUND(J8,0),"/",ROUND(J9,0),"/",ROUND(J10,0)," ["&amp;IF(cal!$X$4=1,"W",IF(cal!$X$4=2,"Btu/h"))&amp;"]")</f>
        <v>Emisión sensible Frío * 16/18/27 [W]</v>
      </c>
      <c r="G14" s="153" t="str">
        <f>CONCATENATE("Emisión total Frío * ",ROUND(J8,0),"/",ROUND(J9,0),"/",ROUND(J10,0)," ["&amp;IF(cal!$X$4=1,"W",IF(cal!$X$4=2,"Btu/h"))&amp;"]")</f>
        <v>Emisión total Frío * 16/18/27 [W]</v>
      </c>
      <c r="H14" s="153" t="str">
        <f>"Caudal de agua, calefacción ["&amp;IF(cal!$X$4=1,"l/h",IF(cal!$X$4=2,"GPM"))&amp;"]"</f>
        <v>Caudal de agua, calefacción [l/h]</v>
      </c>
      <c r="I14" s="153" t="str">
        <f>E14</f>
        <v>Pérdida de carga del agua [kPa]</v>
      </c>
      <c r="J14" s="152" t="s">
        <v>119</v>
      </c>
      <c r="K14" s="156" t="s">
        <v>120</v>
      </c>
      <c r="L14" s="153" t="s">
        <v>121</v>
      </c>
      <c r="M14" s="155" t="str">
        <f>"Caudal de aire ["&amp;IF(cal!$X$4=1,"m³/h",IF(cal!$X$4=2,"CFM"))&amp;"]"</f>
        <v>Caudal de aire [m³/h]</v>
      </c>
      <c r="N14" s="200" t="str">
        <f>"Temperatura salida de aire calefacción ["&amp;IF(cal!$X$4=1,"°C",IF(cal!$X$4=2,"°F"))&amp;"]"</f>
        <v>Temperatura salida de aire calefacción [°C]</v>
      </c>
      <c r="O14" s="201" t="str">
        <f>"Temperatura salida de aire refrigeración ["&amp;IF(cal!$X$4=1,"°C",IF(cal!$X$4=2,"°F"))&amp;"]"</f>
        <v>Temperatura salida de aire refrigeración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(Type 1)"</f>
        <v>Clima Canal altura 13 cm ancho 32 cm longitud 70 cm (Type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92" t="s">
        <v>98</v>
      </c>
      <c r="R15" s="92" t="s">
        <v>125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92" t="s">
        <v>123</v>
      </c>
      <c r="R16" s="92" t="s">
        <v>126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92" t="s">
        <v>124</v>
      </c>
      <c r="R17" s="92" t="s">
        <v>127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(Type 2)"</f>
        <v>Clima Canal altura 13 cm ancho 32 cm longitud 100 cm (Type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(Type 3)"</f>
        <v>Clima Canal altura 13 cm ancho 32 cm longitud 120 cm (Type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(Type 4)"</f>
        <v>Clima Canal altura 13 cm ancho 32 cm longitud 140 cm (Type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(Type 5)"</f>
        <v>Clima Canal altura 13 cm ancho 32 cm longitud 170 cm (Type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(Type 6)"</f>
        <v>Clima Canal altura 13 cm ancho 32 cm longitud 200 cm (Type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(Type 7)"</f>
        <v>Clima Canal altura 13 cm ancho 32 cm longitud 230 cm (Type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(Type 8)"</f>
        <v>Clima Canal altura 13 cm ancho 32 cm longitud 280 cm (Type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(Type 9)"</f>
        <v>Clima Canal altura 13 cm ancho 32 cm longitud 300 cm (Type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165</v>
      </c>
      <c r="L69" s="47"/>
      <c r="M69" s="45" t="str">
        <f>cal!N70</f>
        <v>v2026-03-23</v>
      </c>
    </row>
    <row r="70" spans="1:13" ht="9.6" customHeight="1" x14ac:dyDescent="0.25">
      <c r="A70" s="6" t="s">
        <v>166</v>
      </c>
    </row>
    <row r="71" spans="1:13" ht="9.6" customHeight="1" x14ac:dyDescent="0.25">
      <c r="A71" s="6" t="s">
        <v>167</v>
      </c>
    </row>
  </sheetData>
  <sheetProtection selectLockedCells="1"/>
  <mergeCells count="21">
    <mergeCell ref="A15:M15"/>
    <mergeCell ref="A21:M21"/>
    <mergeCell ref="A27:M27"/>
    <mergeCell ref="A33:M33"/>
    <mergeCell ref="G3:J3"/>
    <mergeCell ref="G4:J4"/>
    <mergeCell ref="A8:C8"/>
    <mergeCell ref="F8:I8"/>
    <mergeCell ref="L8:M8"/>
    <mergeCell ref="A9:C9"/>
    <mergeCell ref="F9:I9"/>
    <mergeCell ref="L6:M6"/>
    <mergeCell ref="L7:M7"/>
    <mergeCell ref="F11:H11"/>
    <mergeCell ref="A10:C10"/>
    <mergeCell ref="F10:I10"/>
    <mergeCell ref="A39:M39"/>
    <mergeCell ref="A45:M45"/>
    <mergeCell ref="A51:M51"/>
    <mergeCell ref="A57:M57"/>
    <mergeCell ref="A63:M63"/>
  </mergeCells>
  <dataValidations count="7">
    <dataValidation type="whole" errorStyle="information" allowBlank="1" showErrorMessage="1" error="Eingabe außerhalb des gültigen Bereichs." prompt="20°C bis 35°C" sqref="J10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 xr:uid="{00000000-0002-0000-0700-000002000000}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J9" xr:uid="{00000000-0002-0000-0700-000004000000}">
      <formula1>J8</formula1>
      <formula2>J10</formula2>
    </dataValidation>
    <dataValidation type="whole" errorStyle="information" allowBlank="1" showErrorMessage="1" error="Eingabe außerhalb des gültigen Bereichs." prompt="Eingabe zwischen 5°C bis 20°C" sqref="J8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J11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A1:R71"/>
  <sheetViews>
    <sheetView topLeftCell="C1" workbookViewId="0">
      <selection activeCell="G6" sqref="G6:J6"/>
    </sheetView>
  </sheetViews>
  <sheetFormatPr defaultColWidth="11.42578125" defaultRowHeight="15" x14ac:dyDescent="0.25"/>
  <cols>
    <col min="1" max="1" width="7" style="1" customWidth="1"/>
    <col min="2" max="2" width="6.140625" style="1" customWidth="1"/>
    <col min="3" max="3" width="7" style="1" customWidth="1"/>
    <col min="4" max="4" width="6.7109375" style="1" customWidth="1"/>
    <col min="5" max="15" width="7" style="1" customWidth="1"/>
    <col min="16" max="16384" width="11.42578125" style="1"/>
  </cols>
  <sheetData>
    <row r="1" spans="1:18" x14ac:dyDescent="0.25">
      <c r="A1" s="21"/>
    </row>
    <row r="2" spans="1:18" x14ac:dyDescent="0.25">
      <c r="A2" s="23" t="s">
        <v>33</v>
      </c>
      <c r="B2" s="22"/>
    </row>
    <row r="3" spans="1:18" x14ac:dyDescent="0.25">
      <c r="A3" s="21"/>
    </row>
    <row r="4" spans="1:18" x14ac:dyDescent="0.25">
      <c r="A4" s="28" t="s">
        <v>31</v>
      </c>
    </row>
    <row r="5" spans="1:18" ht="6" customHeight="1" thickBot="1" x14ac:dyDescent="0.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1"/>
    </row>
    <row r="6" spans="1:18" ht="15.75" thickBot="1" x14ac:dyDescent="0.3">
      <c r="A6" s="12" t="s">
        <v>94</v>
      </c>
      <c r="B6" s="7"/>
      <c r="C6" s="7"/>
      <c r="D6" s="7"/>
      <c r="E6" s="7"/>
      <c r="F6" s="7"/>
      <c r="G6" s="7"/>
      <c r="H6" s="7"/>
      <c r="I6" s="7"/>
      <c r="J6" s="7"/>
      <c r="K6" s="7"/>
      <c r="L6" s="341" t="s">
        <v>186</v>
      </c>
      <c r="M6" s="342"/>
    </row>
    <row r="7" spans="1:18" ht="15.75" thickBot="1" x14ac:dyDescent="0.3">
      <c r="A7" s="12" t="s">
        <v>187</v>
      </c>
      <c r="B7" s="7"/>
      <c r="C7" s="7"/>
      <c r="D7" s="7"/>
      <c r="E7" s="7"/>
      <c r="F7" s="98" t="s">
        <v>191</v>
      </c>
      <c r="G7" s="8"/>
      <c r="H7" s="8"/>
      <c r="I7" s="7"/>
      <c r="J7" s="7"/>
      <c r="K7" s="7"/>
      <c r="L7" s="343"/>
      <c r="M7" s="344"/>
      <c r="Q7" s="1" t="s">
        <v>209</v>
      </c>
    </row>
    <row r="8" spans="1:18" ht="15.75" thickBot="1" x14ac:dyDescent="0.3">
      <c r="A8" s="262" t="s">
        <v>188</v>
      </c>
      <c r="B8" s="48"/>
      <c r="C8" s="48"/>
      <c r="D8" s="62">
        <f>cal!E9</f>
        <v>75</v>
      </c>
      <c r="E8" s="48" t="str">
        <f>IF(cal!$X$4=1,"°C",IF(cal!$X$4=2,"°F"))</f>
        <v>°C</v>
      </c>
      <c r="F8" s="332" t="str">
        <f>A8</f>
        <v>Tillopp</v>
      </c>
      <c r="G8" s="332"/>
      <c r="H8" s="332"/>
      <c r="I8" s="332"/>
      <c r="J8" s="62">
        <f>cal!K9</f>
        <v>16</v>
      </c>
      <c r="K8" s="7" t="str">
        <f>E8</f>
        <v>°C</v>
      </c>
      <c r="L8" s="345" t="s">
        <v>116</v>
      </c>
      <c r="M8" s="346"/>
      <c r="Q8" s="1" t="s">
        <v>181</v>
      </c>
    </row>
    <row r="9" spans="1:18" ht="15.75" thickTop="1" x14ac:dyDescent="0.25">
      <c r="A9" s="262" t="s">
        <v>189</v>
      </c>
      <c r="B9" s="48"/>
      <c r="C9" s="48"/>
      <c r="D9" s="62">
        <f>cal!E10</f>
        <v>65</v>
      </c>
      <c r="E9" s="48" t="str">
        <f>E8</f>
        <v>°C</v>
      </c>
      <c r="F9" s="332" t="str">
        <f>A9</f>
        <v>Retur</v>
      </c>
      <c r="G9" s="332"/>
      <c r="H9" s="332"/>
      <c r="I9" s="332"/>
      <c r="J9" s="62">
        <f>cal!K10</f>
        <v>18</v>
      </c>
      <c r="K9" s="7" t="str">
        <f>E8</f>
        <v>°C</v>
      </c>
      <c r="L9" s="7"/>
      <c r="M9" s="13"/>
      <c r="Q9" s="1" t="s">
        <v>210</v>
      </c>
    </row>
    <row r="10" spans="1:18" x14ac:dyDescent="0.25">
      <c r="A10" s="262" t="s">
        <v>190</v>
      </c>
      <c r="B10" s="48"/>
      <c r="C10" s="48"/>
      <c r="D10" s="62">
        <f>cal!E11</f>
        <v>20</v>
      </c>
      <c r="E10" s="48" t="str">
        <f>E8</f>
        <v>°C</v>
      </c>
      <c r="F10" s="332" t="str">
        <f>A10</f>
        <v>Rum (torr)</v>
      </c>
      <c r="G10" s="332"/>
      <c r="H10" s="332"/>
      <c r="I10" s="332"/>
      <c r="J10" s="62">
        <f>cal!K11</f>
        <v>26.999999999999996</v>
      </c>
      <c r="K10" s="7" t="str">
        <f>E8</f>
        <v>°C</v>
      </c>
      <c r="L10" s="7"/>
      <c r="M10" s="13"/>
    </row>
    <row r="11" spans="1:18" x14ac:dyDescent="0.25">
      <c r="A11" s="14"/>
      <c r="B11" s="7"/>
      <c r="C11" s="7"/>
      <c r="D11" s="7"/>
      <c r="E11" s="7"/>
      <c r="F11" s="351" t="s">
        <v>192</v>
      </c>
      <c r="G11" s="351"/>
      <c r="H11" s="351"/>
      <c r="I11" s="352"/>
      <c r="J11" s="50">
        <f>cal!K12</f>
        <v>0.5</v>
      </c>
      <c r="K11" s="7"/>
      <c r="L11" s="7"/>
      <c r="M11" s="13"/>
    </row>
    <row r="12" spans="1:18" ht="6" customHeight="1" x14ac:dyDescent="0.25">
      <c r="A12" s="15"/>
      <c r="B12" s="16"/>
      <c r="C12" s="16"/>
      <c r="D12" s="16"/>
      <c r="E12" s="17"/>
      <c r="F12" s="17"/>
      <c r="G12" s="17"/>
      <c r="H12" s="17"/>
      <c r="I12" s="17"/>
      <c r="J12" s="17"/>
      <c r="K12" s="17"/>
      <c r="L12" s="17"/>
      <c r="M12" s="18"/>
    </row>
    <row r="13" spans="1:18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8" s="2" customFormat="1" ht="95.65" customHeight="1" x14ac:dyDescent="0.25">
      <c r="A14" s="26" t="s">
        <v>193</v>
      </c>
      <c r="B14" s="19" t="s">
        <v>194</v>
      </c>
      <c r="C14" s="26" t="str">
        <f>CONCATENATE("Värme effekt * ",ROUND(D8,0),"/",ROUND(D9,0),"/",ROUND(D10,0)," ["&amp;IF(cal!$X$4=1,"W",IF(cal!$X$4=2,"Btu/h"))&amp;"]")</f>
        <v>Värme effekt * 75/65/20 [W]</v>
      </c>
      <c r="D14" s="29" t="str">
        <f>"Vattenflöde, värme ["&amp;IF(cal!$X$4=1,"l/h",IF(cal!$X$4=2,"GPM"))&amp;"]"</f>
        <v>Vattenflöde, värme [l/h]</v>
      </c>
      <c r="E14" s="32" t="str">
        <f>"Tryckfall, vatten ["&amp;IF(cal!$X$4=1,"kPa",IF(cal!$X$4=2,"inH2O"))&amp;"]"</f>
        <v>Tryckfall, vatten [kPa]</v>
      </c>
      <c r="F14" s="19" t="str">
        <f>CONCATENATE("Märkbar kylkapacitet * ",ROUND(J8,0),"/",ROUND(J9,0),"/",ROUND(J10,0)," ["&amp;IF(cal!$X$4=1,"W",IF(cal!$X$4=2,"Btu/h"))&amp;"]")</f>
        <v>Märkbar kylkapacitet * 16/18/27 [W]</v>
      </c>
      <c r="G14" s="19" t="str">
        <f>CONCATENATE("Total kylkapacitet ",ROUND(J8,0),"/",ROUND(J9,0),"/",ROUND(J10,0)," ["&amp;IF(cal!$X$4=1,"W",IF(cal!$X$4=2,"Btu/h"))&amp;"]")</f>
        <v>Total kylkapacitet 16/18/27 [W]</v>
      </c>
      <c r="H14" s="19" t="str">
        <f>"Vattenflöde, kyla ["&amp;IF(cal!$X$4=1,"l/h",IF(cal!$X$4=2,"GPM"))&amp;"]"</f>
        <v>Vattenflöde, kyla [l/h]</v>
      </c>
      <c r="I14" s="20" t="str">
        <f>E14</f>
        <v>Tryckfall, vatten [kPa]</v>
      </c>
      <c r="J14" s="26" t="s">
        <v>195</v>
      </c>
      <c r="K14" s="31" t="s">
        <v>196</v>
      </c>
      <c r="L14" s="19" t="s">
        <v>197</v>
      </c>
      <c r="M14" s="25" t="str">
        <f>"Luftflöde ["&amp;IF(cal!$X$4=1,"m³/h",IF(cal!$X$4=2,"CFM"))&amp;"]"</f>
        <v>Luftflöde [m³/h]</v>
      </c>
      <c r="N14" s="200" t="str">
        <f>"Air exhaust temp. heating ["&amp;IF(cal!$X$4=1,"°C",IF(cal!$X$4=2,"°F"))&amp;"]"</f>
        <v>Air exhaust temp. heating [°C]</v>
      </c>
      <c r="O14" s="201" t="str">
        <f>"Air exhaust temp. cooling ["&amp;IF(cal!$X$4=1,"°C",IF(cal!$X$4=2,"°F"))&amp;"]"</f>
        <v>Air exhaust temp. cooling [°C]</v>
      </c>
    </row>
    <row r="15" spans="1:18" ht="18" customHeight="1" x14ac:dyDescent="0.25">
      <c r="A15" s="326" t="str">
        <f>cal!$AF$1&amp;" "&amp;$R$15&amp;" "&amp;ROUND(cal!Y22,1)&amp;IF(cal!$X$4=1," cm",IF(cal!$X$4=2," in"))&amp;" "&amp;$R$16&amp;" "&amp;ROUND(cal!AA22,1)&amp;IF(cal!$X$4=1," cm",IF(cal!$X$4=2," in"))&amp;" "&amp;$R$17&amp;" "&amp;ROUND(cal!AC22,1)&amp;IF(cal!$X$4=1," cm",IF(cal!$X$4=2," in"))&amp;" (Typ 1)"</f>
        <v>Clima Canal höjd 13 cm djup 32 cm längd 70 cm (Typ 1)</v>
      </c>
      <c r="B15" s="327"/>
      <c r="C15" s="326"/>
      <c r="D15" s="328"/>
      <c r="E15" s="327"/>
      <c r="F15" s="327"/>
      <c r="G15" s="327"/>
      <c r="H15" s="327"/>
      <c r="I15" s="327"/>
      <c r="J15" s="326"/>
      <c r="K15" s="327"/>
      <c r="L15" s="327"/>
      <c r="M15" s="328"/>
      <c r="Q15" s="1" t="s">
        <v>98</v>
      </c>
      <c r="R15" s="92" t="s">
        <v>200</v>
      </c>
    </row>
    <row r="16" spans="1:18" x14ac:dyDescent="0.25">
      <c r="A16" s="33"/>
      <c r="B16" s="3"/>
      <c r="C16" s="27"/>
      <c r="D16" s="4"/>
      <c r="E16" s="30"/>
      <c r="F16" s="4"/>
      <c r="G16" s="4"/>
      <c r="H16" s="4"/>
      <c r="I16" s="5"/>
      <c r="J16" s="27"/>
      <c r="K16" s="42"/>
      <c r="L16" s="46"/>
      <c r="M16" s="34"/>
      <c r="Q16" s="1" t="s">
        <v>198</v>
      </c>
      <c r="R16" s="92" t="s">
        <v>201</v>
      </c>
    </row>
    <row r="17" spans="1:18" x14ac:dyDescent="0.25">
      <c r="A17" s="33"/>
      <c r="B17" s="3"/>
      <c r="C17" s="27"/>
      <c r="D17" s="4"/>
      <c r="E17" s="30"/>
      <c r="F17" s="4"/>
      <c r="G17" s="4"/>
      <c r="H17" s="4"/>
      <c r="I17" s="5"/>
      <c r="J17" s="27"/>
      <c r="K17" s="42"/>
      <c r="L17" s="46"/>
      <c r="M17" s="34"/>
      <c r="Q17" s="1" t="s">
        <v>199</v>
      </c>
      <c r="R17" s="92" t="s">
        <v>202</v>
      </c>
    </row>
    <row r="18" spans="1:18" x14ac:dyDescent="0.25">
      <c r="A18" s="33"/>
      <c r="B18" s="3"/>
      <c r="C18" s="27"/>
      <c r="D18" s="4"/>
      <c r="E18" s="30"/>
      <c r="F18" s="4"/>
      <c r="G18" s="4"/>
      <c r="H18" s="4"/>
      <c r="I18" s="5"/>
      <c r="J18" s="27"/>
      <c r="K18" s="42"/>
      <c r="L18" s="46"/>
      <c r="M18" s="34"/>
    </row>
    <row r="19" spans="1:18" x14ac:dyDescent="0.25">
      <c r="A19" s="33"/>
      <c r="B19" s="3"/>
      <c r="C19" s="27"/>
      <c r="D19" s="4"/>
      <c r="E19" s="30"/>
      <c r="F19" s="4"/>
      <c r="G19" s="4"/>
      <c r="H19" s="4"/>
      <c r="I19" s="5"/>
      <c r="J19" s="27"/>
      <c r="K19" s="42"/>
      <c r="L19" s="46"/>
      <c r="M19" s="34"/>
    </row>
    <row r="20" spans="1:18" x14ac:dyDescent="0.25">
      <c r="A20" s="33"/>
      <c r="B20" s="3"/>
      <c r="C20" s="27"/>
      <c r="D20" s="4"/>
      <c r="E20" s="30"/>
      <c r="F20" s="4"/>
      <c r="G20" s="4"/>
      <c r="H20" s="4"/>
      <c r="I20" s="5"/>
      <c r="J20" s="27"/>
      <c r="K20" s="42"/>
      <c r="L20" s="46"/>
      <c r="M20" s="34"/>
    </row>
    <row r="21" spans="1:18" ht="16.899999999999999" customHeight="1" x14ac:dyDescent="0.25">
      <c r="A21" s="326" t="str">
        <f>cal!$AF$1&amp;" "&amp;$R$15&amp;" "&amp;ROUND(cal!Y28,1)&amp;IF(cal!$X$4=1," cm",IF(cal!$X$4=2," in"))&amp;" "&amp;$R$16&amp;" "&amp;ROUND(cal!AA28,1)&amp;IF(cal!$X$4=1," cm",IF(cal!$X$4=2," in"))&amp;" "&amp;$R$17&amp;" "&amp;ROUND(cal!AC28,1)&amp;IF(cal!$X$4=1," cm",IF(cal!$X$4=2," in"))&amp;" (Typ 2)"</f>
        <v>Clima Canal höjd 13 cm djup 32 cm längd 100 cm (Typ 2)</v>
      </c>
      <c r="B21" s="327"/>
      <c r="C21" s="326"/>
      <c r="D21" s="328"/>
      <c r="E21" s="327"/>
      <c r="F21" s="327"/>
      <c r="G21" s="327"/>
      <c r="H21" s="327"/>
      <c r="I21" s="327"/>
      <c r="J21" s="326"/>
      <c r="K21" s="327"/>
      <c r="L21" s="327"/>
      <c r="M21" s="328"/>
    </row>
    <row r="22" spans="1:18" x14ac:dyDescent="0.25">
      <c r="A22" s="33"/>
      <c r="B22" s="3"/>
      <c r="C22" s="27"/>
      <c r="D22" s="4"/>
      <c r="E22" s="30"/>
      <c r="F22" s="4"/>
      <c r="G22" s="4"/>
      <c r="H22" s="4"/>
      <c r="I22" s="5"/>
      <c r="J22" s="27"/>
      <c r="K22" s="42"/>
      <c r="L22" s="46"/>
      <c r="M22" s="34"/>
    </row>
    <row r="23" spans="1:18" x14ac:dyDescent="0.25">
      <c r="A23" s="33"/>
      <c r="B23" s="3"/>
      <c r="C23" s="27"/>
      <c r="D23" s="4"/>
      <c r="E23" s="30"/>
      <c r="F23" s="4"/>
      <c r="G23" s="4"/>
      <c r="H23" s="4"/>
      <c r="I23" s="5"/>
      <c r="J23" s="27"/>
      <c r="K23" s="42"/>
      <c r="L23" s="46"/>
      <c r="M23" s="34"/>
    </row>
    <row r="24" spans="1:18" x14ac:dyDescent="0.25">
      <c r="A24" s="33"/>
      <c r="B24" s="3"/>
      <c r="C24" s="27"/>
      <c r="D24" s="4"/>
      <c r="E24" s="30"/>
      <c r="F24" s="4"/>
      <c r="G24" s="4"/>
      <c r="H24" s="4"/>
      <c r="I24" s="5"/>
      <c r="J24" s="27"/>
      <c r="K24" s="42"/>
      <c r="L24" s="46"/>
      <c r="M24" s="34"/>
    </row>
    <row r="25" spans="1:18" x14ac:dyDescent="0.25">
      <c r="A25" s="33"/>
      <c r="B25" s="3"/>
      <c r="C25" s="27"/>
      <c r="D25" s="4"/>
      <c r="E25" s="30"/>
      <c r="F25" s="4"/>
      <c r="G25" s="4"/>
      <c r="H25" s="4"/>
      <c r="I25" s="5"/>
      <c r="J25" s="27"/>
      <c r="K25" s="42"/>
      <c r="L25" s="46"/>
      <c r="M25" s="34"/>
    </row>
    <row r="26" spans="1:18" x14ac:dyDescent="0.25">
      <c r="A26" s="33"/>
      <c r="B26" s="3"/>
      <c r="C26" s="27"/>
      <c r="D26" s="4"/>
      <c r="E26" s="30"/>
      <c r="F26" s="4"/>
      <c r="G26" s="4"/>
      <c r="H26" s="4"/>
      <c r="I26" s="5"/>
      <c r="J26" s="27"/>
      <c r="K26" s="42"/>
      <c r="L26" s="46"/>
      <c r="M26" s="34"/>
    </row>
    <row r="27" spans="1:18" ht="18" customHeight="1" x14ac:dyDescent="0.25">
      <c r="A27" s="326" t="str">
        <f>cal!$AF$1&amp;" "&amp;$R$15&amp;" "&amp;ROUND(cal!Y34,1)&amp;IF(cal!$X$4=1," cm",IF(cal!$X$4=2," in"))&amp;" "&amp;$R$16&amp;" "&amp;ROUND(cal!AA34,1)&amp;IF(cal!$X$4=1," cm",IF(cal!$X$4=2," in"))&amp;" "&amp;$R$17&amp;" "&amp;ROUND(cal!AC34,1)&amp;IF(cal!$X$4=1," cm",IF(cal!$X$4=2," in"))&amp;" (Typ 3)"</f>
        <v>Clima Canal höjd 13 cm djup 32 cm längd 120 cm (Typ 3)</v>
      </c>
      <c r="B27" s="327"/>
      <c r="C27" s="326"/>
      <c r="D27" s="328"/>
      <c r="E27" s="327"/>
      <c r="F27" s="327"/>
      <c r="G27" s="327"/>
      <c r="H27" s="327"/>
      <c r="I27" s="327"/>
      <c r="J27" s="326"/>
      <c r="K27" s="327"/>
      <c r="L27" s="327"/>
      <c r="M27" s="328"/>
    </row>
    <row r="28" spans="1:18" x14ac:dyDescent="0.25">
      <c r="A28" s="33"/>
      <c r="B28" s="3"/>
      <c r="C28" s="27"/>
      <c r="D28" s="4"/>
      <c r="E28" s="30"/>
      <c r="F28" s="4"/>
      <c r="G28" s="4"/>
      <c r="H28" s="4"/>
      <c r="I28" s="5"/>
      <c r="J28" s="27"/>
      <c r="K28" s="42"/>
      <c r="L28" s="46"/>
      <c r="M28" s="34"/>
    </row>
    <row r="29" spans="1:18" x14ac:dyDescent="0.25">
      <c r="A29" s="33"/>
      <c r="B29" s="3"/>
      <c r="C29" s="27"/>
      <c r="D29" s="4"/>
      <c r="E29" s="30"/>
      <c r="F29" s="4"/>
      <c r="G29" s="4"/>
      <c r="H29" s="4"/>
      <c r="I29" s="5"/>
      <c r="J29" s="27"/>
      <c r="K29" s="42"/>
      <c r="L29" s="46"/>
      <c r="M29" s="34"/>
    </row>
    <row r="30" spans="1:18" x14ac:dyDescent="0.25">
      <c r="A30" s="33"/>
      <c r="B30" s="3"/>
      <c r="C30" s="27"/>
      <c r="D30" s="4"/>
      <c r="E30" s="30"/>
      <c r="F30" s="4"/>
      <c r="G30" s="4"/>
      <c r="H30" s="4"/>
      <c r="I30" s="5"/>
      <c r="J30" s="27"/>
      <c r="K30" s="42"/>
      <c r="L30" s="46"/>
      <c r="M30" s="34"/>
    </row>
    <row r="31" spans="1:18" x14ac:dyDescent="0.25">
      <c r="A31" s="33"/>
      <c r="B31" s="3"/>
      <c r="C31" s="27"/>
      <c r="D31" s="4"/>
      <c r="E31" s="30"/>
      <c r="F31" s="4"/>
      <c r="G31" s="4"/>
      <c r="H31" s="4"/>
      <c r="I31" s="5"/>
      <c r="J31" s="27"/>
      <c r="K31" s="42"/>
      <c r="L31" s="46"/>
      <c r="M31" s="34"/>
    </row>
    <row r="32" spans="1:18" x14ac:dyDescent="0.25">
      <c r="A32" s="33"/>
      <c r="B32" s="3"/>
      <c r="C32" s="27"/>
      <c r="D32" s="4"/>
      <c r="E32" s="30"/>
      <c r="F32" s="4"/>
      <c r="G32" s="4"/>
      <c r="H32" s="4"/>
      <c r="I32" s="5"/>
      <c r="J32" s="27"/>
      <c r="K32" s="42"/>
      <c r="L32" s="46"/>
      <c r="M32" s="34"/>
    </row>
    <row r="33" spans="1:13" ht="16.899999999999999" customHeight="1" x14ac:dyDescent="0.25">
      <c r="A33" s="326" t="str">
        <f>cal!$AF$1&amp;" "&amp;$R$15&amp;" "&amp;ROUND(cal!Y40,1)&amp;IF(cal!$X$4=1," cm",IF(cal!$X$4=2," in"))&amp;" "&amp;$R$16&amp;" "&amp;ROUND(cal!AA40,1)&amp;IF(cal!$X$4=1," cm",IF(cal!$X$4=2," in"))&amp;" "&amp;$R$17&amp;" "&amp;ROUND(cal!AC40,1)&amp;IF(cal!$X$4=1," cm",IF(cal!$X$4=2," in"))&amp;" (Typ 4)"</f>
        <v>Clima Canal höjd 13 cm djup 32 cm längd 140 cm (Typ 4)</v>
      </c>
      <c r="B33" s="327"/>
      <c r="C33" s="326"/>
      <c r="D33" s="328"/>
      <c r="E33" s="327"/>
      <c r="F33" s="327"/>
      <c r="G33" s="327"/>
      <c r="H33" s="327"/>
      <c r="I33" s="327"/>
      <c r="J33" s="326"/>
      <c r="K33" s="327"/>
      <c r="L33" s="327"/>
      <c r="M33" s="328"/>
    </row>
    <row r="34" spans="1:13" x14ac:dyDescent="0.25">
      <c r="A34" s="33"/>
      <c r="B34" s="3"/>
      <c r="C34" s="27"/>
      <c r="D34" s="4"/>
      <c r="E34" s="30"/>
      <c r="F34" s="4"/>
      <c r="G34" s="4"/>
      <c r="H34" s="4"/>
      <c r="I34" s="5"/>
      <c r="J34" s="27"/>
      <c r="K34" s="42"/>
      <c r="L34" s="46"/>
      <c r="M34" s="34"/>
    </row>
    <row r="35" spans="1:13" x14ac:dyDescent="0.25">
      <c r="A35" s="33"/>
      <c r="B35" s="3"/>
      <c r="C35" s="27"/>
      <c r="D35" s="4"/>
      <c r="E35" s="30"/>
      <c r="F35" s="4"/>
      <c r="G35" s="4"/>
      <c r="H35" s="4"/>
      <c r="I35" s="5"/>
      <c r="J35" s="27"/>
      <c r="K35" s="42"/>
      <c r="L35" s="46"/>
      <c r="M35" s="34"/>
    </row>
    <row r="36" spans="1:13" x14ac:dyDescent="0.25">
      <c r="A36" s="33"/>
      <c r="B36" s="3"/>
      <c r="C36" s="27"/>
      <c r="D36" s="4"/>
      <c r="E36" s="30"/>
      <c r="F36" s="4"/>
      <c r="G36" s="4"/>
      <c r="H36" s="4"/>
      <c r="I36" s="5"/>
      <c r="J36" s="27"/>
      <c r="K36" s="42"/>
      <c r="L36" s="46"/>
      <c r="M36" s="34"/>
    </row>
    <row r="37" spans="1:13" x14ac:dyDescent="0.25">
      <c r="A37" s="33"/>
      <c r="B37" s="3"/>
      <c r="C37" s="27"/>
      <c r="D37" s="4"/>
      <c r="E37" s="30"/>
      <c r="F37" s="4"/>
      <c r="G37" s="4"/>
      <c r="H37" s="4"/>
      <c r="I37" s="5"/>
      <c r="J37" s="27"/>
      <c r="K37" s="42"/>
      <c r="L37" s="46"/>
      <c r="M37" s="34"/>
    </row>
    <row r="38" spans="1:13" ht="15" customHeight="1" x14ac:dyDescent="0.25">
      <c r="A38" s="33"/>
      <c r="B38" s="3"/>
      <c r="C38" s="27"/>
      <c r="D38" s="4"/>
      <c r="E38" s="30"/>
      <c r="F38" s="4"/>
      <c r="G38" s="4"/>
      <c r="H38" s="4"/>
      <c r="I38" s="5"/>
      <c r="J38" s="27"/>
      <c r="K38" s="42"/>
      <c r="L38" s="46"/>
      <c r="M38" s="34"/>
    </row>
    <row r="39" spans="1:13" ht="15" customHeight="1" x14ac:dyDescent="0.25">
      <c r="A39" s="326" t="str">
        <f>cal!$AF$1&amp;" "&amp;$R$15&amp;" "&amp;ROUND(cal!Y46,1)&amp;IF(cal!$X$4=1," cm",IF(cal!$X$4=2," in"))&amp;" "&amp;$R$16&amp;" "&amp;ROUND(cal!AA46,1)&amp;IF(cal!$X$4=1," cm",IF(cal!$X$4=2," in"))&amp;" "&amp;$R$17&amp;" "&amp;ROUND(cal!AC46,1)&amp;IF(cal!$X$4=1," cm",IF(cal!$X$4=2," in"))&amp;" (Typ 5)"</f>
        <v>Clima Canal höjd 13 cm djup 32 cm längd 170 cm (Typ 5)</v>
      </c>
      <c r="B39" s="327"/>
      <c r="C39" s="326"/>
      <c r="D39" s="328"/>
      <c r="E39" s="327"/>
      <c r="F39" s="327"/>
      <c r="G39" s="327"/>
      <c r="H39" s="327"/>
      <c r="I39" s="327"/>
      <c r="J39" s="326"/>
      <c r="K39" s="327"/>
      <c r="L39" s="327"/>
      <c r="M39" s="328"/>
    </row>
    <row r="40" spans="1:13" ht="15" customHeight="1" x14ac:dyDescent="0.25">
      <c r="A40" s="33"/>
      <c r="B40" s="3"/>
      <c r="C40" s="27"/>
      <c r="D40" s="4"/>
      <c r="E40" s="30"/>
      <c r="F40" s="4"/>
      <c r="G40" s="4"/>
      <c r="H40" s="4"/>
      <c r="I40" s="5"/>
      <c r="J40" s="27"/>
      <c r="K40" s="42"/>
      <c r="L40" s="46"/>
      <c r="M40" s="34"/>
    </row>
    <row r="41" spans="1:13" ht="15" customHeight="1" x14ac:dyDescent="0.25">
      <c r="A41" s="33"/>
      <c r="B41" s="3"/>
      <c r="C41" s="27"/>
      <c r="D41" s="4"/>
      <c r="E41" s="30"/>
      <c r="F41" s="4"/>
      <c r="G41" s="4"/>
      <c r="H41" s="4"/>
      <c r="I41" s="5"/>
      <c r="J41" s="27"/>
      <c r="K41" s="42"/>
      <c r="L41" s="46"/>
      <c r="M41" s="34"/>
    </row>
    <row r="42" spans="1:13" ht="15" customHeight="1" x14ac:dyDescent="0.25">
      <c r="A42" s="33"/>
      <c r="B42" s="3"/>
      <c r="C42" s="27"/>
      <c r="D42" s="4"/>
      <c r="E42" s="30"/>
      <c r="F42" s="4"/>
      <c r="G42" s="4"/>
      <c r="H42" s="4"/>
      <c r="I42" s="5"/>
      <c r="J42" s="27"/>
      <c r="K42" s="42"/>
      <c r="L42" s="46"/>
      <c r="M42" s="34"/>
    </row>
    <row r="43" spans="1:13" ht="15" customHeight="1" x14ac:dyDescent="0.25">
      <c r="A43" s="33"/>
      <c r="B43" s="3"/>
      <c r="C43" s="27"/>
      <c r="D43" s="4"/>
      <c r="E43" s="30"/>
      <c r="F43" s="4"/>
      <c r="G43" s="4"/>
      <c r="H43" s="4"/>
      <c r="I43" s="5"/>
      <c r="J43" s="27"/>
      <c r="K43" s="42"/>
      <c r="L43" s="46"/>
      <c r="M43" s="34"/>
    </row>
    <row r="44" spans="1:13" ht="15" customHeight="1" x14ac:dyDescent="0.25">
      <c r="A44" s="33"/>
      <c r="B44" s="3"/>
      <c r="C44" s="27"/>
      <c r="D44" s="4"/>
      <c r="E44" s="30"/>
      <c r="F44" s="4"/>
      <c r="G44" s="4"/>
      <c r="H44" s="4"/>
      <c r="I44" s="5"/>
      <c r="J44" s="27"/>
      <c r="K44" s="42"/>
      <c r="L44" s="46"/>
      <c r="M44" s="34"/>
    </row>
    <row r="45" spans="1:13" ht="15" customHeight="1" x14ac:dyDescent="0.25">
      <c r="A45" s="326" t="str">
        <f>cal!$AF$1&amp;" "&amp;$R$15&amp;" "&amp;ROUND(cal!Y52,1)&amp;IF(cal!$X$4=1," cm",IF(cal!$X$4=2," in"))&amp;" "&amp;$R$16&amp;" "&amp;ROUND(cal!AA52,1)&amp;IF(cal!$X$4=1," cm",IF(cal!$X$4=2," in"))&amp;" "&amp;$R$17&amp;" "&amp;ROUND(cal!AC52,1)&amp;IF(cal!$X$4=1," cm",IF(cal!$X$4=2," in"))&amp;" (Typ 6)"</f>
        <v>Clima Canal höjd 13 cm djup 32 cm längd 200 cm (Typ 6)</v>
      </c>
      <c r="B45" s="327"/>
      <c r="C45" s="326"/>
      <c r="D45" s="328"/>
      <c r="E45" s="327"/>
      <c r="F45" s="327"/>
      <c r="G45" s="327"/>
      <c r="H45" s="327"/>
      <c r="I45" s="327"/>
      <c r="J45" s="326"/>
      <c r="K45" s="327"/>
      <c r="L45" s="327"/>
      <c r="M45" s="328"/>
    </row>
    <row r="46" spans="1:13" ht="15" customHeight="1" x14ac:dyDescent="0.25">
      <c r="A46" s="33"/>
      <c r="B46" s="3"/>
      <c r="C46" s="27"/>
      <c r="D46" s="4"/>
      <c r="E46" s="30"/>
      <c r="F46" s="4"/>
      <c r="G46" s="4"/>
      <c r="H46" s="4"/>
      <c r="I46" s="5"/>
      <c r="J46" s="27"/>
      <c r="K46" s="42"/>
      <c r="L46" s="46"/>
      <c r="M46" s="34"/>
    </row>
    <row r="47" spans="1:13" ht="15" customHeight="1" x14ac:dyDescent="0.25">
      <c r="A47" s="33"/>
      <c r="B47" s="3"/>
      <c r="C47" s="27"/>
      <c r="D47" s="4"/>
      <c r="E47" s="30"/>
      <c r="F47" s="4"/>
      <c r="G47" s="4"/>
      <c r="H47" s="4"/>
      <c r="I47" s="5"/>
      <c r="J47" s="27"/>
      <c r="K47" s="42"/>
      <c r="L47" s="46"/>
      <c r="M47" s="34"/>
    </row>
    <row r="48" spans="1:13" ht="15" customHeight="1" x14ac:dyDescent="0.25">
      <c r="A48" s="33"/>
      <c r="B48" s="3"/>
      <c r="C48" s="27"/>
      <c r="D48" s="4"/>
      <c r="E48" s="30"/>
      <c r="F48" s="4"/>
      <c r="G48" s="4"/>
      <c r="H48" s="4"/>
      <c r="I48" s="5"/>
      <c r="J48" s="27"/>
      <c r="K48" s="42"/>
      <c r="L48" s="46"/>
      <c r="M48" s="34"/>
    </row>
    <row r="49" spans="1:13" ht="15" customHeight="1" x14ac:dyDescent="0.25">
      <c r="A49" s="33"/>
      <c r="B49" s="3"/>
      <c r="C49" s="27"/>
      <c r="D49" s="4"/>
      <c r="E49" s="30"/>
      <c r="F49" s="4"/>
      <c r="G49" s="4"/>
      <c r="H49" s="4"/>
      <c r="I49" s="5"/>
      <c r="J49" s="27"/>
      <c r="K49" s="42"/>
      <c r="L49" s="46"/>
      <c r="M49" s="34"/>
    </row>
    <row r="50" spans="1:13" ht="15" customHeight="1" x14ac:dyDescent="0.25">
      <c r="A50" s="33"/>
      <c r="B50" s="3"/>
      <c r="C50" s="27"/>
      <c r="D50" s="4"/>
      <c r="E50" s="30"/>
      <c r="F50" s="4"/>
      <c r="G50" s="4"/>
      <c r="H50" s="4"/>
      <c r="I50" s="5"/>
      <c r="J50" s="27"/>
      <c r="K50" s="42"/>
      <c r="L50" s="46"/>
      <c r="M50" s="34"/>
    </row>
    <row r="51" spans="1:13" ht="15" customHeight="1" x14ac:dyDescent="0.25">
      <c r="A51" s="326" t="str">
        <f>cal!$AF$1&amp;" "&amp;$R$15&amp;" "&amp;ROUND(cal!Y58,1)&amp;IF(cal!$X$4=1," cm",IF(cal!$X$4=2," in"))&amp;" "&amp;$R$16&amp;" "&amp;ROUND(cal!AA58,1)&amp;IF(cal!$X$4=1," cm",IF(cal!$X$4=2," in"))&amp;" "&amp;$R$17&amp;" "&amp;ROUND(cal!AC58,1)&amp;IF(cal!$X$4=1," cm",IF(cal!$X$4=2," in"))&amp;" (Typ 7)"</f>
        <v>Clima Canal höjd 13 cm djup 32 cm längd 230 cm (Typ 7)</v>
      </c>
      <c r="B51" s="327"/>
      <c r="C51" s="326"/>
      <c r="D51" s="328"/>
      <c r="E51" s="327"/>
      <c r="F51" s="327"/>
      <c r="G51" s="327"/>
      <c r="H51" s="327"/>
      <c r="I51" s="327"/>
      <c r="J51" s="326"/>
      <c r="K51" s="327"/>
      <c r="L51" s="327"/>
      <c r="M51" s="328"/>
    </row>
    <row r="52" spans="1:13" ht="15" customHeight="1" x14ac:dyDescent="0.25">
      <c r="A52" s="33"/>
      <c r="B52" s="3"/>
      <c r="C52" s="27"/>
      <c r="D52" s="4"/>
      <c r="E52" s="30"/>
      <c r="F52" s="4"/>
      <c r="G52" s="4"/>
      <c r="H52" s="4"/>
      <c r="I52" s="5"/>
      <c r="J52" s="27"/>
      <c r="K52" s="42"/>
      <c r="L52" s="46"/>
      <c r="M52" s="34"/>
    </row>
    <row r="53" spans="1:13" ht="15" customHeight="1" x14ac:dyDescent="0.25">
      <c r="A53" s="33"/>
      <c r="B53" s="3"/>
      <c r="C53" s="27"/>
      <c r="D53" s="4"/>
      <c r="E53" s="30"/>
      <c r="F53" s="4"/>
      <c r="G53" s="4"/>
      <c r="H53" s="4"/>
      <c r="I53" s="5"/>
      <c r="J53" s="27"/>
      <c r="K53" s="42"/>
      <c r="L53" s="46"/>
      <c r="M53" s="34"/>
    </row>
    <row r="54" spans="1:13" ht="15" customHeight="1" x14ac:dyDescent="0.25">
      <c r="A54" s="33"/>
      <c r="B54" s="3"/>
      <c r="C54" s="27"/>
      <c r="D54" s="4"/>
      <c r="E54" s="30"/>
      <c r="F54" s="4"/>
      <c r="G54" s="4"/>
      <c r="H54" s="4"/>
      <c r="I54" s="5"/>
      <c r="J54" s="27"/>
      <c r="K54" s="42"/>
      <c r="L54" s="46"/>
      <c r="M54" s="34"/>
    </row>
    <row r="55" spans="1:13" ht="15" customHeight="1" x14ac:dyDescent="0.25">
      <c r="A55" s="33"/>
      <c r="B55" s="3"/>
      <c r="C55" s="27"/>
      <c r="D55" s="4"/>
      <c r="E55" s="30"/>
      <c r="F55" s="4"/>
      <c r="G55" s="4"/>
      <c r="H55" s="4"/>
      <c r="I55" s="5"/>
      <c r="J55" s="27"/>
      <c r="K55" s="42"/>
      <c r="L55" s="46"/>
      <c r="M55" s="34"/>
    </row>
    <row r="56" spans="1:13" ht="15" customHeight="1" x14ac:dyDescent="0.25">
      <c r="A56" s="33"/>
      <c r="B56" s="3"/>
      <c r="C56" s="27"/>
      <c r="D56" s="4"/>
      <c r="E56" s="30"/>
      <c r="F56" s="4"/>
      <c r="G56" s="4"/>
      <c r="H56" s="4"/>
      <c r="I56" s="5"/>
      <c r="J56" s="27"/>
      <c r="K56" s="42"/>
      <c r="L56" s="46"/>
      <c r="M56" s="34"/>
    </row>
    <row r="57" spans="1:13" ht="15" customHeight="1" x14ac:dyDescent="0.25">
      <c r="A57" s="326" t="str">
        <f>cal!$AF$1&amp;" "&amp;$R$15&amp;" "&amp;ROUND(cal!Y64,1)&amp;IF(cal!$X$4=1," cm",IF(cal!$X$4=2," in"))&amp;" "&amp;$R$16&amp;" "&amp;ROUND(cal!AA64,1)&amp;IF(cal!$X$4=1," cm",IF(cal!$X$4=2," in"))&amp;" "&amp;$R$17&amp;" "&amp;ROUND(cal!AC64,1)&amp;IF(cal!$X$4=1," cm",IF(cal!$X$4=2," in"))&amp;" (Typ 8)"</f>
        <v>Clima Canal höjd 13 cm djup 32 cm längd 280 cm (Typ 8)</v>
      </c>
      <c r="B57" s="327"/>
      <c r="C57" s="326"/>
      <c r="D57" s="328"/>
      <c r="E57" s="327"/>
      <c r="F57" s="327"/>
      <c r="G57" s="327"/>
      <c r="H57" s="327"/>
      <c r="I57" s="327"/>
      <c r="J57" s="326"/>
      <c r="K57" s="327"/>
      <c r="L57" s="327"/>
      <c r="M57" s="328"/>
    </row>
    <row r="58" spans="1:13" ht="15" customHeight="1" x14ac:dyDescent="0.25">
      <c r="A58" s="33"/>
      <c r="B58" s="3"/>
      <c r="C58" s="27"/>
      <c r="D58" s="4"/>
      <c r="E58" s="30"/>
      <c r="F58" s="4"/>
      <c r="G58" s="4"/>
      <c r="H58" s="4"/>
      <c r="I58" s="5"/>
      <c r="J58" s="27"/>
      <c r="K58" s="42"/>
      <c r="L58" s="46"/>
      <c r="M58" s="34"/>
    </row>
    <row r="59" spans="1:13" ht="15" customHeight="1" x14ac:dyDescent="0.25">
      <c r="A59" s="33"/>
      <c r="B59" s="3"/>
      <c r="C59" s="27"/>
      <c r="D59" s="4"/>
      <c r="E59" s="30"/>
      <c r="F59" s="4"/>
      <c r="G59" s="4"/>
      <c r="H59" s="4"/>
      <c r="I59" s="5"/>
      <c r="J59" s="27"/>
      <c r="K59" s="42"/>
      <c r="L59" s="46"/>
      <c r="M59" s="34"/>
    </row>
    <row r="60" spans="1:13" ht="15" customHeight="1" x14ac:dyDescent="0.25">
      <c r="A60" s="33"/>
      <c r="B60" s="3"/>
      <c r="C60" s="27"/>
      <c r="D60" s="4"/>
      <c r="E60" s="30"/>
      <c r="F60" s="4"/>
      <c r="G60" s="4"/>
      <c r="H60" s="4"/>
      <c r="I60" s="5"/>
      <c r="J60" s="27"/>
      <c r="K60" s="42"/>
      <c r="L60" s="46"/>
      <c r="M60" s="34"/>
    </row>
    <row r="61" spans="1:13" ht="15" customHeight="1" x14ac:dyDescent="0.25">
      <c r="A61" s="33"/>
      <c r="B61" s="3"/>
      <c r="C61" s="27"/>
      <c r="D61" s="4"/>
      <c r="E61" s="30"/>
      <c r="F61" s="4"/>
      <c r="G61" s="4"/>
      <c r="H61" s="4"/>
      <c r="I61" s="5"/>
      <c r="J61" s="27"/>
      <c r="K61" s="42"/>
      <c r="L61" s="46"/>
      <c r="M61" s="34"/>
    </row>
    <row r="62" spans="1:13" ht="15" customHeight="1" x14ac:dyDescent="0.25">
      <c r="A62" s="33"/>
      <c r="B62" s="3"/>
      <c r="C62" s="27"/>
      <c r="D62" s="4"/>
      <c r="E62" s="30"/>
      <c r="F62" s="4"/>
      <c r="G62" s="4"/>
      <c r="H62" s="4"/>
      <c r="I62" s="5"/>
      <c r="J62" s="27"/>
      <c r="K62" s="42"/>
      <c r="L62" s="46"/>
      <c r="M62" s="34"/>
    </row>
    <row r="63" spans="1:13" ht="15" customHeight="1" x14ac:dyDescent="0.25">
      <c r="A63" s="326" t="str">
        <f>cal!$AF$1&amp;" "&amp;$R$15&amp;" "&amp;ROUND(cal!Y70,1)&amp;IF(cal!$X$4=1," cm",IF(cal!$X$4=2," in"))&amp;" "&amp;$R$16&amp;" "&amp;ROUND(cal!AA70,1)&amp;IF(cal!$X$4=1," cm",IF(cal!$X$4=2," in"))&amp;" "&amp;$R$17&amp;" "&amp;ROUND(cal!AC70,1)&amp;IF(cal!$X$4=1," cm",IF(cal!$X$4=2," in"))&amp;" (Typ 9)"</f>
        <v>Clima Canal höjd 13 cm djup 32 cm längd 300 cm (Typ 9)</v>
      </c>
      <c r="B63" s="327"/>
      <c r="C63" s="326"/>
      <c r="D63" s="328"/>
      <c r="E63" s="327"/>
      <c r="F63" s="327"/>
      <c r="G63" s="327"/>
      <c r="H63" s="327"/>
      <c r="I63" s="327"/>
      <c r="J63" s="326"/>
      <c r="K63" s="327"/>
      <c r="L63" s="327"/>
      <c r="M63" s="328"/>
    </row>
    <row r="64" spans="1:13" ht="15" customHeight="1" x14ac:dyDescent="0.25">
      <c r="A64" s="33"/>
      <c r="B64" s="3"/>
      <c r="C64" s="27"/>
      <c r="D64" s="4"/>
      <c r="E64" s="30"/>
      <c r="F64" s="4"/>
      <c r="G64" s="4"/>
      <c r="H64" s="4"/>
      <c r="I64" s="5"/>
      <c r="J64" s="27"/>
      <c r="K64" s="42"/>
      <c r="L64" s="46"/>
      <c r="M64" s="34"/>
    </row>
    <row r="65" spans="1:13" ht="15" customHeight="1" x14ac:dyDescent="0.25">
      <c r="A65" s="33"/>
      <c r="B65" s="3"/>
      <c r="C65" s="27"/>
      <c r="D65" s="4"/>
      <c r="E65" s="30"/>
      <c r="F65" s="4"/>
      <c r="G65" s="4"/>
      <c r="H65" s="4"/>
      <c r="I65" s="5"/>
      <c r="J65" s="27"/>
      <c r="K65" s="42"/>
      <c r="L65" s="46"/>
      <c r="M65" s="34"/>
    </row>
    <row r="66" spans="1:13" ht="15" customHeight="1" x14ac:dyDescent="0.25">
      <c r="A66" s="33"/>
      <c r="B66" s="3"/>
      <c r="C66" s="27"/>
      <c r="D66" s="4"/>
      <c r="E66" s="30"/>
      <c r="F66" s="4"/>
      <c r="G66" s="4"/>
      <c r="H66" s="4"/>
      <c r="I66" s="5"/>
      <c r="J66" s="27"/>
      <c r="K66" s="42"/>
      <c r="L66" s="46"/>
      <c r="M66" s="34"/>
    </row>
    <row r="67" spans="1:13" ht="15" customHeight="1" x14ac:dyDescent="0.25">
      <c r="A67" s="33"/>
      <c r="B67" s="3"/>
      <c r="C67" s="27"/>
      <c r="D67" s="4"/>
      <c r="E67" s="30"/>
      <c r="F67" s="4"/>
      <c r="G67" s="4"/>
      <c r="H67" s="4"/>
      <c r="I67" s="5"/>
      <c r="J67" s="27"/>
      <c r="K67" s="42"/>
      <c r="L67" s="46"/>
      <c r="M67" s="34"/>
    </row>
    <row r="68" spans="1:13" ht="15" customHeight="1" x14ac:dyDescent="0.25">
      <c r="A68" s="35"/>
      <c r="B68" s="36"/>
      <c r="C68" s="37"/>
      <c r="D68" s="38"/>
      <c r="E68" s="39"/>
      <c r="F68" s="38"/>
      <c r="G68" s="38"/>
      <c r="H68" s="38"/>
      <c r="I68" s="40"/>
      <c r="J68" s="37"/>
      <c r="K68" s="43"/>
      <c r="L68" s="46"/>
      <c r="M68" s="41"/>
    </row>
    <row r="69" spans="1:13" ht="9.6" customHeight="1" x14ac:dyDescent="0.25">
      <c r="A69" s="6" t="s">
        <v>205</v>
      </c>
      <c r="L69" s="47"/>
      <c r="M69" s="45" t="str">
        <f>cal!N70</f>
        <v>v2026-03-23</v>
      </c>
    </row>
    <row r="70" spans="1:13" ht="9.6" customHeight="1" x14ac:dyDescent="0.25">
      <c r="A70" s="6" t="s">
        <v>203</v>
      </c>
    </row>
    <row r="71" spans="1:13" ht="9.6" customHeight="1" x14ac:dyDescent="0.25">
      <c r="A71" s="6" t="s">
        <v>204</v>
      </c>
    </row>
  </sheetData>
  <sheetProtection selectLockedCells="1"/>
  <mergeCells count="16">
    <mergeCell ref="L6:M6"/>
    <mergeCell ref="L7:M7"/>
    <mergeCell ref="F8:I8"/>
    <mergeCell ref="L8:M8"/>
    <mergeCell ref="F9:I9"/>
    <mergeCell ref="A63:M63"/>
    <mergeCell ref="F10:I10"/>
    <mergeCell ref="A15:M15"/>
    <mergeCell ref="A21:M21"/>
    <mergeCell ref="A27:M27"/>
    <mergeCell ref="F11:I11"/>
    <mergeCell ref="A33:M33"/>
    <mergeCell ref="A39:M39"/>
    <mergeCell ref="A45:M45"/>
    <mergeCell ref="A51:M51"/>
    <mergeCell ref="A57:M57"/>
  </mergeCells>
  <dataValidations count="7">
    <dataValidation type="decimal" errorStyle="information" allowBlank="1" showErrorMessage="1" error="Eingabe außerhalb des gültigen Bereichs." prompt="20°C bis 35°C" sqref="J11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J8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J9" xr:uid="{00000000-0002-0000-0800-000002000000}">
      <formula1>J8</formula1>
      <formula2>J10</formula2>
    </dataValidation>
    <dataValidation type="whole" errorStyle="information" allowBlank="1" showErrorMessage="1" error="Temperatur außerhalb des gütligen Bereichs." prompt="Eingabe zwischen 30°C bis 95°C" sqref="D8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 xr:uid="{00000000-0002-0000-0800-000004000000}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J10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14</vt:i4>
      </vt:variant>
    </vt:vector>
  </HeadingPairs>
  <TitlesOfParts>
    <vt:vector size="27" baseType="lpstr">
      <vt:lpstr>Clima Canal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Celc1</vt:lpstr>
      <vt:lpstr>Celc2</vt:lpstr>
      <vt:lpstr>CF_Altit</vt:lpstr>
      <vt:lpstr>Cubics</vt:lpstr>
      <vt:lpstr>kgss</vt:lpstr>
      <vt:lpstr>p_atm</vt:lpstr>
      <vt:lpstr>RH</vt:lpstr>
      <vt:lpstr>Tl_cool</vt:lpstr>
      <vt:lpstr>Tl_heat</vt:lpstr>
      <vt:lpstr>Tr_cool</vt:lpstr>
      <vt:lpstr>Tr_heat</vt:lpstr>
      <vt:lpstr>Tv_cool</vt:lpstr>
      <vt:lpstr>Tv_heat</vt:lpstr>
      <vt:lpstr>Watts</vt:lpstr>
    </vt:vector>
  </TitlesOfParts>
  <Company>Jaga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Clima canal H13W32</dc:subject>
  <dc:creator>Patrick Thomas</dc:creator>
  <dc:description>Update: 
1) Invoering van logaritmische CF;
2) toevoeging L300.</dc:description>
  <cp:lastModifiedBy>Senne Swyns</cp:lastModifiedBy>
  <cp:lastPrinted>2019-09-05T07:29:31Z</cp:lastPrinted>
  <dcterms:created xsi:type="dcterms:W3CDTF">2016-04-18T12:28:50Z</dcterms:created>
  <dcterms:modified xsi:type="dcterms:W3CDTF">2026-03-23T08:01:28Z</dcterms:modified>
  <cp:category>Selectiontools</cp:category>
  <cp:contentStatus>Update 16/01/2020 THenson</cp:contentStatus>
</cp:coreProperties>
</file>